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O Form" sheetId="2" state="visible" r:id="rId4"/>
    <sheet name="PO Log" sheetId="3" state="visible" r:id="rId5"/>
    <sheet name="Lists" sheetId="4" state="visible" r:id="rId6"/>
    <sheet name="QBO Bill Export" sheetId="5" state="visible" r:id="rId7"/>
    <sheet name="QBO Column Map" sheetId="6" state="visible" r:id="rId8"/>
    <sheet name="When you outgrow this" sheetId="7" state="visible" r:id="rId9"/>
  </sheets>
  <definedNames>
    <definedName function="false" hidden="false" localSheetId="1" name="_xlnm.Print_Area" vbProcedure="false">'PO Form'!$A$1:$G$41</definedName>
    <definedName function="false" hidden="true" localSheetId="2" name="_xlnm._FilterDatabase" vbProcedure="false">'PO Log'!$A$5:$Y$205</definedName>
    <definedName function="false" hidden="false" name="AlertDays" vbProcedure="false">Lists!$H$9</definedName>
    <definedName function="false" hidden="false" name="ApprovalStatus" vbProcedure="false">Lists!$E$6:$E$25</definedName>
    <definedName function="false" hidden="false" name="Approvers" vbProcedure="false">Lists!$D$6:$D$25</definedName>
    <definedName function="false" hidden="false" name="Categories" vbProcedure="false">Lists!$B$6:$B$25</definedName>
    <definedName function="false" hidden="false" name="Departments" vbProcedure="false">Lists!$A$6:$A$25</definedName>
    <definedName function="false" hidden="false" name="POPrefix" vbProcedure="false">Lists!$H$6</definedName>
    <definedName function="false" hidden="false" name="POStart" vbProcedure="false">Lists!$H$7</definedName>
    <definedName function="false" hidden="false" name="POStatus" vbProcedure="false">Lists!$F$6:$F$25</definedName>
    <definedName function="false" hidden="false" name="QBOAccounts" vbProcedure="false">Lists!$C$6:$C$25</definedName>
    <definedName function="false" hidden="false" name="TaxRate" vbProcedure="false">Lists!$H$8</definedName>
    <definedName function="false" hidden="false" name="TermsDays" vbProcedure="false">Lists!$H$10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<sst xmlns="http://schemas.openxmlformats.org/spreadsheetml/2006/main" count="379" uniqueCount="271">
  <si>
    <t xml:space="preserve">Foxpedite</t>
  </si>
  <si>
    <t xml:space="preserve">PO Template Pack: PO form + tracker + QuickBooks column map</t>
  </si>
  <si>
    <t xml:space="preserve">Free template from Foxpedite. Works in Excel and Google Sheets (File → Import → Upload, or open from Drive).</t>
  </si>
  <si>
    <t xml:space="preserve">Foxpedite does this automatically</t>
  </si>
  <si>
    <t xml:space="preserve">This workbook is the manual version of a PO system. In Foxpedite, the same steps run on their own:</t>
  </si>
  <si>
    <t xml:space="preserve">✓  PO numbers generated automatically from a request form anyone can fill, so two people can't create the same PO twice (Steps 3–4).</t>
  </si>
  <si>
    <t xml:space="preserve">✓  Draft-Stage Budget Lock: the PO is reserved against the department budget the moment it's drafted (Step 3).</t>
  </si>
  <si>
    <t xml:space="preserve">✓  Approvals routed by amount and department, approved from the email, with an audit trail of who approved what and when (Step 5).</t>
  </si>
  <si>
    <t xml:space="preserve">✓  Invoices matched to PO + receipt, then synced to QuickBooks Online: no bill-import CSV (Step 6).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</si>
  <si>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</si>
  <si>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</si>
  <si>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What's in this file</t>
  </si>
  <si>
    <t xml:space="preserve">1. Lists - your departments, categories, approvers, statuses and settings (PO prefix, starting number, default tax rate). Edit these first.</t>
  </si>
  <si>
    <t xml:space="preserve">2. PO Log - one row per purchase order. PO numbers are generated automatically and can't repeat. Dropdowns keep data clean.</t>
  </si>
  <si>
    <t xml:space="preserve">3. PO Form - a printable PO. It pulls the next PO number from the log. Fill the yellow/blue cells; totals, tax and shipping calculate.</t>
  </si>
  <si>
    <t xml:space="preserve">4. QBO Bill Export - builds QuickBooks Online bill-import rows from invoiced POs in the log. Copy → paste into a CSV → Settings ⚙ → Import data → Bills.</t>
  </si>
  <si>
    <t xml:space="preserve">5. QBO Column Map - which column in this file goes to which QuickBooks field, and what QuickBooks can't import.</t>
  </si>
  <si>
    <t xml:space="preserve">How to use it (10 minutes)</t>
  </si>
  <si>
    <t xml:space="preserve">Step 1. Lists: replace the example departments, categories, approvers. Set your PO prefix (e.g. PO-) and starting number (e.g. 1001).</t>
  </si>
  <si>
    <t xml:space="preserve">▶ Foxpedite automates this: departments, approvers and categories are set once in Foxpedite's workflow builder.</t>
  </si>
  <si>
    <t xml:space="preserve">Step 2. PO Log: delete the EXAMPLE DATA rows (rows 6–13 contents, columns C onward). Keep the formula columns (A, B, P, Q, S, X) - they're shaded grey.</t>
  </si>
  <si>
    <t xml:space="preserve">Step 3. New purchase: add a row in the PO Log (date, vendor, requester, department, category, committed amount). The PO number appears in column B.</t>
  </si>
  <si>
    <t xml:space="preserve">▶ Foxpedite automates this: requesters draft the PO themselves; the number is assigned and the budget reserved at the draft.</t>
  </si>
  <si>
    <t xml:space="preserve">Step 4. Need a printable PO? Use the PO Form tab. Its PO number = the next number after the last log row, so fill the form BEFORE adding the log row, then log it.</t>
  </si>
  <si>
    <t xml:space="preserve">▶ Foxpedite automates this: the approved PO goes to the vendor as a PDF by email; there's no separate form to keep in step with a log.</t>
  </si>
  <si>
    <t xml:space="preserve">Step 5. Track it: update Approval status, PO status, Received and Invoiced amounts. Open commitment shows money promised but not yet billed.</t>
  </si>
  <si>
    <t xml:space="preserve">▶ Foxpedite automates this: approval, receipt and invoice status update themselves as people act; open commitment is live.</t>
  </si>
  <si>
    <t xml:space="preserve">Step 6. Month-end: filter PO status = Invoiced; the QBO Bill Export tab lists those rows ready to import.</t>
  </si>
  <si>
    <t xml:space="preserve">▶ Foxpedite automates this: matched bills sync to QuickBooks Online (Advanced plan); nothing to export or import.</t>
  </si>
  <si>
    <t xml:space="preserve">Color key</t>
  </si>
  <si>
    <t xml:space="preserve">Blue cells = your inputs.  Grey cells = formulas (don't type over them).  Yellow rows = EXAMPLE DATA, illustrative only.</t>
  </si>
  <si>
    <t xml:space="preserve">Amber flag = pending approval more than 3 days, or delivery overdue.  Red flag = invoiced more than committed (check before paying).  Green = approved / closed.</t>
  </si>
  <si>
    <t xml:space="preserve">Honest limits of a spreadsheet</t>
  </si>
  <si>
    <t xml:space="preserve">• Nothing stops someone ordering without a log row. • Two people editing at once can collide. • No budget check when the PO is drafted.</t>
  </si>
  <si>
    <t xml:space="preserve">• Approval is whatever the status column says; there's no audit trail of who changed it. • Receipt matching is manual.</t>
  </si>
  <si>
    <t xml:space="preserve">QuickBooks facts used here (checked against Intuit help pages, Oct 18, 2026)</t>
  </si>
  <si>
    <t xml:space="preserve">• Purchase orders are only available in QuickBooks Online Plus and Advanced. Simple Start and Essentials can't create purchase orders.</t>
  </si>
  <si>
    <t xml:space="preserve">• QBO's native import list includes Bills but not purchase orders. Bill import needs: Bill no., Vendor, Bill Date, Due Date, Account, Line Amount (plus tax code where used). Intuit recommends ≤100 bills per import.</t>
  </si>
  <si>
    <t xml:space="preserve">• Sources: quickbooks.intuit.com/learn-support/en-us/help-article/purchase-orders/create-send-purchase-orders-quickbooks-online/L2mVpjOoq_US_en_US</t>
  </si>
  <si>
    <t xml:space="preserve">  and quickbooks.intuit.com/learn-support/en-us/help-articles/importing-your-bills/00/261324</t>
  </si>
  <si>
    <t xml:space="preserve">foxpedite.com - Free template. Example data is illustrative.</t>
  </si>
  <si>
    <t xml:space="preserve">[Your Company Name]</t>
  </si>
  <si>
    <t xml:space="preserve">PURCHASE ORDER</t>
  </si>
  <si>
    <t xml:space="preserve">[Street address] · [City, State ZIP] · [Phone] · [Email]</t>
  </si>
  <si>
    <t xml:space="preserve">PO number</t>
  </si>
  <si>
    <t xml:space="preserve">VENDOR</t>
  </si>
  <si>
    <t xml:space="preserve">PO date</t>
  </si>
  <si>
    <t xml:space="preserve">Name</t>
  </si>
  <si>
    <t xml:space="preserve">Precision Tooling Co.</t>
  </si>
  <si>
    <t xml:space="preserve">Requested by</t>
  </si>
  <si>
    <t xml:space="preserve">R. Chen</t>
  </si>
  <si>
    <t xml:space="preserve">Address</t>
  </si>
  <si>
    <t xml:space="preserve">1200 Industrial Pkwy, Dayton, OH 45414</t>
  </si>
  <si>
    <t xml:space="preserve">Department</t>
  </si>
  <si>
    <t xml:space="preserve">Production</t>
  </si>
  <si>
    <t xml:space="preserve">Contact</t>
  </si>
  <si>
    <t xml:space="preserve">orders@example.com</t>
  </si>
  <si>
    <t xml:space="preserve">Need by</t>
  </si>
  <si>
    <t xml:space="preserve">Terms</t>
  </si>
  <si>
    <t xml:space="preserve">Net 30</t>
  </si>
  <si>
    <t xml:space="preserve">SHIP TO</t>
  </si>
  <si>
    <t xml:space="preserve">Location</t>
  </si>
  <si>
    <t xml:space="preserve">[Receiving dock / job site address]</t>
  </si>
  <si>
    <t xml:space="preserve">EXAMPLE DATA - the vendor and lines below are illustrative. Clear the blue cells to reuse.</t>
  </si>
  <si>
    <t xml:space="preserve">Item / SKU</t>
  </si>
  <si>
    <t xml:space="preserve">Description</t>
  </si>
  <si>
    <t xml:space="preserve">Qty</t>
  </si>
  <si>
    <t xml:space="preserve">Unit</t>
  </si>
  <si>
    <t xml:space="preserve">Unit price</t>
  </si>
  <si>
    <t xml:space="preserve">Taxable? (Y/N)</t>
  </si>
  <si>
    <t xml:space="preserve">Line total</t>
  </si>
  <si>
    <t xml:space="preserve">EM-0500-4F</t>
  </si>
  <si>
    <t xml:space="preserve">Carbide end mill, 1/2in 4-flute</t>
  </si>
  <si>
    <t xml:space="preserve">ea</t>
  </si>
  <si>
    <t xml:space="preserve">Y</t>
  </si>
  <si>
    <t xml:space="preserve">EM-0250-2F</t>
  </si>
  <si>
    <t xml:space="preserve">Carbide end mill, 1/4in 2-flute</t>
  </si>
  <si>
    <t xml:space="preserve">CL-5GAL</t>
  </si>
  <si>
    <t xml:space="preserve">Cutting fluid concentrate, 5 gal</t>
  </si>
  <si>
    <t xml:space="preserve">pail</t>
  </si>
  <si>
    <t xml:space="preserve">SVC-REGRIND</t>
  </si>
  <si>
    <t xml:space="preserve">Regrind service (no tax)</t>
  </si>
  <si>
    <t xml:space="preserve">lot</t>
  </si>
  <si>
    <t xml:space="preserve">N</t>
  </si>
  <si>
    <t xml:space="preserve">Subtotal</t>
  </si>
  <si>
    <t xml:space="preserve">Taxable subtotal</t>
  </si>
  <si>
    <t xml:space="preserve">(edit or use Lists default)</t>
  </si>
  <si>
    <t xml:space="preserve">Tax rate</t>
  </si>
  <si>
    <t xml:space="preserve">Sales tax</t>
  </si>
  <si>
    <t xml:space="preserve">Shipping</t>
  </si>
  <si>
    <t xml:space="preserve">Other / discount (−)</t>
  </si>
  <si>
    <t xml:space="preserve">TOTAL</t>
  </si>
  <si>
    <t xml:space="preserve">Approved by</t>
  </si>
  <si>
    <t xml:space="preserve">____________________________   Date: __________</t>
  </si>
  <si>
    <t xml:space="preserve">Budget / job</t>
  </si>
  <si>
    <t xml:space="preserve">[Department budget or job #]</t>
  </si>
  <si>
    <t xml:space="preserve">Vendor: quote this PO number on your invoice and packing slip. Invoices without a valid PO number may be returned.</t>
  </si>
  <si>
    <t xml:space="preserve">Ship partial quantities only with approval. Prices and terms as stated above.</t>
  </si>
  <si>
    <t xml:space="preserve">PO Log / tracker</t>
  </si>
  <si>
    <t xml:space="preserve">Open commitments</t>
  </si>
  <si>
    <t xml:space="preserve">Flags</t>
  </si>
  <si>
    <t xml:space="preserve">One row per PO. Grey columns are formulas. Yellow rows are EXAMPLE DATA (illustrative) - clear columns C onward before real use.</t>
  </si>
  <si>
    <t xml:space="preserve">POs pending approval</t>
  </si>
  <si>
    <t xml:space="preserve">EXAMPLE DATA rows 6–13 are illustrative (a fictional light-manufacturing shop). Delete them before use.</t>
  </si>
  <si>
    <t xml:space="preserve">Seq #</t>
  </si>
  <si>
    <t xml:space="preserve">Vendor</t>
  </si>
  <si>
    <t xml:space="preserve">Category</t>
  </si>
  <si>
    <t xml:space="preserve">Approver</t>
  </si>
  <si>
    <t xml:space="preserve">Approval status</t>
  </si>
  <si>
    <t xml:space="preserve">Approved date</t>
  </si>
  <si>
    <t xml:space="preserve">PO status</t>
  </si>
  <si>
    <t xml:space="preserve">Committed $</t>
  </si>
  <si>
    <t xml:space="preserve">Received $</t>
  </si>
  <si>
    <t xml:space="preserve">Invoiced $</t>
  </si>
  <si>
    <t xml:space="preserve">Open commitment $</t>
  </si>
  <si>
    <t xml:space="preserve">Days since PO</t>
  </si>
  <si>
    <t xml:space="preserve">Expected delivery</t>
  </si>
  <si>
    <t xml:space="preserve">Flag</t>
  </si>
  <si>
    <t xml:space="preserve">Vendor invoice #</t>
  </si>
  <si>
    <t xml:space="preserve">Invoice date</t>
  </si>
  <si>
    <t xml:space="preserve">Terms (days)</t>
  </si>
  <si>
    <t xml:space="preserve">QBO expense account</t>
  </si>
  <si>
    <t xml:space="preserve">Bill due date</t>
  </si>
  <si>
    <t xml:space="preserve">Notes</t>
  </si>
  <si>
    <t xml:space="preserve">Invoiced idx (helper)</t>
  </si>
  <si>
    <t xml:space="preserve">Midwest Steel Supply</t>
  </si>
  <si>
    <t xml:space="preserve">Raw materials</t>
  </si>
  <si>
    <t xml:space="preserve">A36 plate, 1/4in, 40 sheets</t>
  </si>
  <si>
    <t xml:space="preserve">Dana Ortiz (Ops Mgr)</t>
  </si>
  <si>
    <t xml:space="preserve">Approved</t>
  </si>
  <si>
    <t xml:space="preserve">Invoiced</t>
  </si>
  <si>
    <t xml:space="preserve">INV-55102</t>
  </si>
  <si>
    <t xml:space="preserve">Cost of Goods Sold:Materials</t>
  </si>
  <si>
    <t xml:space="preserve">EXAMPLE DATA</t>
  </si>
  <si>
    <t xml:space="preserve">FastenAll Industrial</t>
  </si>
  <si>
    <t xml:space="preserve">M. Brooks</t>
  </si>
  <si>
    <t xml:space="preserve">Maintenance</t>
  </si>
  <si>
    <t xml:space="preserve">MRO / repairs</t>
  </si>
  <si>
    <t xml:space="preserve">Hydraulic hoses + fittings</t>
  </si>
  <si>
    <t xml:space="preserve">Received</t>
  </si>
  <si>
    <t xml:space="preserve">Repairs &amp; Maintenance</t>
  </si>
  <si>
    <t xml:space="preserve">PackRight Corrugated</t>
  </si>
  <si>
    <t xml:space="preserve">T. Nguyen</t>
  </si>
  <si>
    <t xml:space="preserve">Shipping &amp; Receiving</t>
  </si>
  <si>
    <t xml:space="preserve">Packaging</t>
  </si>
  <si>
    <t xml:space="preserve">Custom boxes 18x12x10, 2,000 pcs</t>
  </si>
  <si>
    <t xml:space="preserve">Sam Patel (Controller)</t>
  </si>
  <si>
    <t xml:space="preserve">Partially received</t>
  </si>
  <si>
    <t xml:space="preserve">Cost of Goods Sold:Packaging</t>
  </si>
  <si>
    <t xml:space="preserve">Tooling &amp; consumables</t>
  </si>
  <si>
    <t xml:space="preserve">Carbide end mills (assorted)</t>
  </si>
  <si>
    <t xml:space="preserve">Pending approval</t>
  </si>
  <si>
    <t xml:space="preserve">Open</t>
  </si>
  <si>
    <t xml:space="preserve">Supplies &amp; Materials</t>
  </si>
  <si>
    <t xml:space="preserve">Northline Machinery</t>
  </si>
  <si>
    <t xml:space="preserve">J. Lee</t>
  </si>
  <si>
    <t xml:space="preserve">Equipment (capex)</t>
  </si>
  <si>
    <t xml:space="preserve">Used CNC press brake, 110 ton</t>
  </si>
  <si>
    <t xml:space="preserve">Jordan Lee (Owner)</t>
  </si>
  <si>
    <t xml:space="preserve">NM-2291</t>
  </si>
  <si>
    <t xml:space="preserve">Equipment</t>
  </si>
  <si>
    <t xml:space="preserve">Office Depot</t>
  </si>
  <si>
    <t xml:space="preserve">K. Alvarez</t>
  </si>
  <si>
    <t xml:space="preserve">Office / Admin</t>
  </si>
  <si>
    <t xml:space="preserve">Office supplies</t>
  </si>
  <si>
    <t xml:space="preserve">Toner + paper, Q4</t>
  </si>
  <si>
    <t xml:space="preserve">Closed</t>
  </si>
  <si>
    <t xml:space="preserve">OD-88213</t>
  </si>
  <si>
    <t xml:space="preserve">Office Supplies</t>
  </si>
  <si>
    <t xml:space="preserve">CalTest Labs</t>
  </si>
  <si>
    <t xml:space="preserve">P. Shah</t>
  </si>
  <si>
    <t xml:space="preserve">Quality</t>
  </si>
  <si>
    <t xml:space="preserve">Services / contractors</t>
  </si>
  <si>
    <t xml:space="preserve">Annual gauge calibration</t>
  </si>
  <si>
    <t xml:space="preserve">Draft</t>
  </si>
  <si>
    <t xml:space="preserve">Contract Labor</t>
  </si>
  <si>
    <t xml:space="preserve">Cancelled - duplicate request</t>
  </si>
  <si>
    <t xml:space="preserve">Rejected</t>
  </si>
  <si>
    <t xml:space="preserve">Cancelled</t>
  </si>
  <si>
    <t xml:space="preserve">Lists &amp; settings</t>
  </si>
  <si>
    <t xml:space="preserve">Edit these. Every dropdown in the file reads from here.</t>
  </si>
  <si>
    <t xml:space="preserve">Example names are illustrative - replace with your own. Leave blank rows blank; up to 20 per list.</t>
  </si>
  <si>
    <t xml:space="preserve">Departments</t>
  </si>
  <si>
    <t xml:space="preserve">Categories</t>
  </si>
  <si>
    <t xml:space="preserve">Approvers</t>
  </si>
  <si>
    <t xml:space="preserve">Setting</t>
  </si>
  <si>
    <t xml:space="preserve">Value</t>
  </si>
  <si>
    <t xml:space="preserve">PO prefix</t>
  </si>
  <si>
    <t xml:space="preserve">PO-</t>
  </si>
  <si>
    <t xml:space="preserve">Starting PO number</t>
  </si>
  <si>
    <t xml:space="preserve">Default sales tax rate</t>
  </si>
  <si>
    <t xml:space="preserve">Riley Chen (Plant Lead)</t>
  </si>
  <si>
    <t xml:space="preserve">Pending-approval alert (days)</t>
  </si>
  <si>
    <t xml:space="preserve">Default payment terms (days)</t>
  </si>
  <si>
    <t xml:space="preserve">Sales</t>
  </si>
  <si>
    <t xml:space="preserve">Software &amp; subscriptions</t>
  </si>
  <si>
    <t xml:space="preserve">Software &amp; Apps</t>
  </si>
  <si>
    <t xml:space="preserve">Tax rate is an example only; use your own jurisdiction's rate.</t>
  </si>
  <si>
    <t xml:space="preserve">IT</t>
  </si>
  <si>
    <t xml:space="preserve">QuickBooks Online bill-import rows</t>
  </si>
  <si>
    <t xml:space="preserve">Auto-filled from PO Log rows whose PO status is Invoiced. Copy rows 6+ (values only) into a CSV with these headers, then Settings ⚙ → Import data → Bills.</t>
  </si>
  <si>
    <t xml:space="preserve">Up to 100 rows - Intuit recommends importing no more than 100 bills at a time. Rows flagged 'Invoice over PO' should be resolved before import.</t>
  </si>
  <si>
    <t xml:space="preserve">Bill no.</t>
  </si>
  <si>
    <t xml:space="preserve">Bill Date</t>
  </si>
  <si>
    <t xml:space="preserve">Due Date</t>
  </si>
  <si>
    <t xml:space="preserve">Account</t>
  </si>
  <si>
    <t xml:space="preserve">Line Amount</t>
  </si>
  <si>
    <t xml:space="preserve">Line Description</t>
  </si>
  <si>
    <t xml:space="preserve">Memo</t>
  </si>
  <si>
    <t xml:space="preserve">Source log row</t>
  </si>
  <si>
    <t xml:space="preserve">QuickBooks Online column map</t>
  </si>
  <si>
    <t xml:space="preserve">Which field in this template goes where in QuickBooks Online (US). Checked against Intuit help pages Oct 18, 2026.</t>
  </si>
  <si>
    <t xml:space="preserve">This template (PO Log column)</t>
  </si>
  <si>
    <t xml:space="preserve">QBO purchase order field (enter manually)</t>
  </si>
  <si>
    <t xml:space="preserve">QBO bill-import column</t>
  </si>
  <si>
    <t xml:space="preserve">Required for bill import?</t>
  </si>
  <si>
    <t xml:space="preserve">B  PO number</t>
  </si>
  <si>
    <t xml:space="preserve">P.O. No. (or custom field)</t>
  </si>
  <si>
    <t xml:space="preserve">Memo (as 'PO …')</t>
  </si>
  <si>
    <t xml:space="preserve">No</t>
  </si>
  <si>
    <t xml:space="preserve">Keeps the PO number on the bill so you can trace it later.</t>
  </si>
  <si>
    <t xml:space="preserve">D  Vendor</t>
  </si>
  <si>
    <t xml:space="preserve">Yes</t>
  </si>
  <si>
    <t xml:space="preserve">Must match the QBO vendor name exactly, or import creates/rejects. Clean vendor names first.</t>
  </si>
  <si>
    <t xml:space="preserve">C  PO date</t>
  </si>
  <si>
    <t xml:space="preserve">Purchase order date</t>
  </si>
  <si>
    <t xml:space="preserve"> - </t>
  </si>
  <si>
    <t xml:space="preserve">PO date isn't part of the bill import.</t>
  </si>
  <si>
    <t xml:space="preserve">F  Department</t>
  </si>
  <si>
    <t xml:space="preserve">Custom field 1 (e.g. Department)</t>
  </si>
  <si>
    <t xml:space="preserve">Class/Location if you use them</t>
  </si>
  <si>
    <t xml:space="preserve">QBO allows up to 3 custom fields on POs. Class/Location tracking depends on your plan and settings.</t>
  </si>
  <si>
    <t xml:space="preserve">G  Category → W QBO expense account</t>
  </si>
  <si>
    <t xml:space="preserve">Item/Account on each line</t>
  </si>
  <si>
    <t xml:space="preserve">Map each category to one QBO account on the Lists tab (column C).</t>
  </si>
  <si>
    <t xml:space="preserve">H  Description</t>
  </si>
  <si>
    <t xml:space="preserve">Line description</t>
  </si>
  <si>
    <t xml:space="preserve">Optional column; confirm the exact header in Intuit's sample file.</t>
  </si>
  <si>
    <t xml:space="preserve">M  Committed $</t>
  </si>
  <si>
    <t xml:space="preserve">Line amounts / total</t>
  </si>
  <si>
    <t xml:space="preserve">What you agreed to pay. Compare to Invoiced before importing.</t>
  </si>
  <si>
    <t xml:space="preserve">O  Invoiced $</t>
  </si>
  <si>
    <t xml:space="preserve">One line per bill here. For multi-line bills, each line repeats Bill no., Vendor and Bill Date.</t>
  </si>
  <si>
    <t xml:space="preserve">T  Vendor invoice #</t>
  </si>
  <si>
    <t xml:space="preserve">The vendor's invoice number. QBO can warn on a repeated bill number for the same vendor (Advanced → Other preferences).</t>
  </si>
  <si>
    <t xml:space="preserve">U  Invoice date</t>
  </si>
  <si>
    <t xml:space="preserve">Pick your date format during import mapping.</t>
  </si>
  <si>
    <t xml:space="preserve">X  Bill due date</t>
  </si>
  <si>
    <t xml:space="preserve">Invoice date + terms (Lists default if blank).</t>
  </si>
  <si>
    <t xml:space="preserve">Line Tax Code</t>
  </si>
  <si>
    <t xml:space="preserve">Where sales tax applies</t>
  </si>
  <si>
    <t xml:space="preserve">Listed as required in Intuit's bill-import article; US files without sales tax on bills often leave it blank. Check the sample file.</t>
  </si>
  <si>
    <t xml:space="preserve">I / J  Approver, approval status</t>
  </si>
  <si>
    <t xml:space="preserve">Not a native field</t>
  </si>
  <si>
    <t xml:space="preserve">QBO Plus has no native PO approval. Advanced has workflow templates (one active PO approval workflow per Intuit community support).</t>
  </si>
  <si>
    <t xml:space="preserve">N  Received $</t>
  </si>
  <si>
    <t xml:space="preserve">Partial quantities when converting PO → bill</t>
  </si>
  <si>
    <t xml:space="preserve">QBO links a PO to the bill; there's no separate receipt document to match against.</t>
  </si>
  <si>
    <t xml:space="preserve">Can I import purchase orders into QuickBooks Online? Not natively - POs aren't in Intuit's import list (bills are). Enter POs in QBO by hand, or use a tool that syncs them.</t>
  </si>
  <si>
    <t xml:space="preserve">Plans: purchase orders are only available in QuickBooks Online Plus and Advanced. Bill import works in Essentials, Plus and Advanced.</t>
  </si>
  <si>
    <t xml:space="preserve">Sources: Intuit, 'Create and send purchase orders in QuickBooks Online' (L2mVpjOoq_US_en_US); 'Import your bills in QuickBooks Online' (learn-support/en-us/help-articles/importing-your-bills/00/261324);</t>
  </si>
  <si>
    <t xml:space="preserve">'Common questions about importing data' (L4OYJRFdj); QuickBooks Community thread 131805 (PO approval workflow). QuickBooks is a trademark of Intuit Inc.; Foxpedite is not affiliated with Intuit.</t>
  </si>
  <si>
    <t xml:space="preserve">Stop doing this by hand</t>
  </si>
  <si>
    <t xml:space="preserve">This spreadsheet is a real system - until people order without logging, or two people edit at once. That's the moment to move it into software built for it.</t>
  </si>
  <si>
    <t xml:space="preserve">•  PO numbers, approvals and status live in one place, so two people can't create PO-1007 twice.</t>
  </si>
  <si>
    <t xml:space="preserve">•  Draft-Stage Budget Lock: the moment someone drafts a purchase, Foxpedite reserves it against the department budget. You see overspend at the request, not at month-end.</t>
  </si>
  <si>
    <t xml:space="preserve">•  Approvers approve from the email; the audit trail records who approved what, and when.</t>
  </si>
  <si>
    <t xml:space="preserve">•  Invoices are matched to the PO and the receipt before payment, then sync to QuickBooks Online.</t>
  </si>
  <si>
    <t xml:space="preserve">Try it free for 14 days: foxpedite.com/register (all Advanced features, no credit card).</t>
  </si>
  <si>
    <t xml:space="preserve">https://www.foxpedite.com/register?utm_source=website&amp;utm_medium=organic&amp;utm_campaign=fx-202611-why-your-po-spreadsheet-&amp;utm_content=foxpedite-com-templates-template-lead-magnet-w03-w03-lm</t>
  </si>
  <si>
    <t xml:space="preserve">Trial includes every Advanced feature. Approval workflows, approve-from-email, QuickBooks Online sync and AI document scanning are on Advanced ($740/mo, 20 users incl.); Regular ($390/mo, 10 users) covers POs, budgets and 3-way match. +$39/extra user · prices as of Oct 2026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</si>
</sst>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\$#,##0.00;[RED]&quot;-$&quot;#,##0.00"/>
    <numFmt numFmtId="167" formatCode="0.00%"/>
    <numFmt numFmtId="168" formatCode="General"/>
    <numFmt numFmtId="169" formatCode="mm/dd/yyyy"/>
    <numFmt numFmtId="170" formatCode="0.00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F46E5"/>
      <name val="Arial"/>
      <family val="0"/>
      <charset val="1"/>
    </font>
    <font>
      <b val="true"/>
      <sz val="15"/>
      <color rgb="FF111827"/>
      <name val="Arial"/>
      <family val="0"/>
      <charset val="1"/>
    </font>
    <font>
      <sz val="9.5"/>
      <color rgb="FF4B5563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.5"/>
      <color rgb="FF374151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u val="single"/>
      <sz val="11"/>
      <color rgb="FF4F46E5"/>
      <name val="Arial"/>
      <family val="0"/>
      <charset val="1"/>
    </font>
    <font>
      <sz val="8"/>
      <color rgb="FF4B5563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i val="true"/>
      <sz val="9.5"/>
      <color rgb="FF4F46E5"/>
      <name val="Arial"/>
      <family val="0"/>
      <charset val="1"/>
    </font>
    <font>
      <b val="true"/>
      <sz val="16"/>
      <color rgb="FF111827"/>
      <name val="Arial"/>
      <family val="0"/>
      <charset val="1"/>
    </font>
    <font>
      <sz val="9"/>
      <color rgb="FF4B5563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b val="true"/>
      <sz val="9"/>
      <color rgb="FF4F46E5"/>
      <name val="Arial"/>
      <family val="0"/>
      <charset val="1"/>
    </font>
    <font>
      <b val="true"/>
      <sz val="9"/>
      <color rgb="FFB45309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9.5"/>
      <color rgb="FF111827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10"/>
      <color rgb="FF4F46E5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i val="true"/>
      <sz val="9"/>
      <color rgb="FF111827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2"/>
      <color rgb="FF4F46E5"/>
      <name val="Arial"/>
      <family val="0"/>
      <charset val="1"/>
    </font>
    <font>
      <b val="true"/>
      <sz val="12"/>
      <color rgb="FFB45309"/>
      <name val="Arial"/>
      <family val="0"/>
      <charset val="1"/>
    </font>
    <font>
      <b val="true"/>
      <sz val="9.5"/>
      <color rgb="FFB45309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i val="true"/>
      <sz val="8.5"/>
      <color rgb="FF6B7280"/>
      <name val="Arial"/>
      <family val="0"/>
      <charset val="1"/>
    </font>
    <font>
      <i val="true"/>
      <sz val="9"/>
      <color rgb="FFB45309"/>
      <name val="Arial"/>
      <family val="0"/>
      <charset val="1"/>
    </font>
    <font>
      <b val="true"/>
      <sz val="9.5"/>
      <color rgb="FF111827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.5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F9FAFB"/>
      </patternFill>
    </fill>
    <fill>
      <patternFill patternType="solid">
        <fgColor rgb="FFE5E7EB"/>
        <bgColor rgb="FFEEF2FF"/>
      </patternFill>
    </fill>
    <fill>
      <patternFill patternType="solid">
        <fgColor rgb="FFFEF3C7"/>
        <bgColor rgb="FFF9FAFB"/>
      </patternFill>
    </fill>
    <fill>
      <patternFill patternType="solid">
        <fgColor rgb="FFF9FAFB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24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1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6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6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4F46E5"/>
          <bgColor rgb="FF000000"/>
        </patternFill>
      </fill>
    </dxf>
    <dxf>
      <fill>
        <patternFill patternType="solid">
          <fgColor rgb="FFE5E7EB"/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EF2F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D1FAE5"/>
          <bgColor rgb="FF000000"/>
        </patternFill>
      </fill>
    </dxf>
    <dxf>
      <fill>
        <patternFill patternType="solid">
          <fgColor rgb="FFFDE68A"/>
          <bgColor rgb="FF000000"/>
        </patternFill>
      </fill>
    </dxf>
    <dxf>
      <fill>
        <patternFill patternType="solid">
          <fgColor rgb="FFFECACA"/>
          <bgColor rgb="FF000000"/>
        </patternFill>
      </fill>
    </dxf>
    <dxf>
      <fill>
        <patternFill patternType="solid">
          <fgColor rgb="FF991B1B"/>
          <bgColor rgb="FF000000"/>
        </patternFill>
      </fill>
    </dxf>
    <dxf>
      <font>
        <name val="Arial"/>
        <charset val="1"/>
        <family val="0"/>
        <b val="1"/>
        <color rgb="FF991B1B"/>
        <sz val="9"/>
      </font>
      <fill>
        <patternFill>
          <bgColor rgb="FFFECACA"/>
        </patternFill>
      </fill>
    </dxf>
    <dxf>
      <font>
        <name val="Arial"/>
        <charset val="1"/>
        <family val="0"/>
        <b val="1"/>
        <color rgb="FF92400E"/>
        <sz val="9"/>
      </font>
      <fill>
        <patternFill>
          <bgColor rgb="FFFDE68A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45309"/>
      <rgbColor rgb="FFFEF3C7"/>
      <rgbColor rgb="FFEEF2FF"/>
      <rgbColor rgb="FF660066"/>
      <rgbColor rgb="FFFF8080"/>
      <rgbColor rgb="FF0066CC"/>
      <rgbColor rgb="FFF9FA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DE68A"/>
      <rgbColor rgb="FF99CCFF"/>
      <rgbColor rgb="FFFF99CC"/>
      <rgbColor rgb="FFCC99FF"/>
      <rgbColor rgb="FFFECACA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111827"/>
      <rgbColor rgb="FF333300"/>
      <rgbColor rgb="FF92400E"/>
      <rgbColor rgb="FF993366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342720</xdr:colOff>
      <xdr:row>0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380520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38052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1-why-your-po-spreadsheet-&amp;utm_content=foxpedite-com-templates-template-lead-magnet-w03-w03-lm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1-why-your-po-spreadsheet-&amp;utm_content=foxpedite-com-templates-template-lead-magnet-w03-w03-l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0"/>
  </cols>
  <sheetData>
    <row r="1" customFormat="false" ht="30" hidden="false" customHeight="true" outlineLevel="0" collapsed="false">
      <c r="B1" s="1" t="s">
        <v>0</v>
      </c>
    </row>
    <row r="2" customFormat="false" ht="18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4" hidden="false" customHeight="true" outlineLevel="0" collapsed="false">
      <c r="A5" s="4" t="s">
        <v>3</v>
      </c>
      <c r="B5" s="4"/>
    </row>
    <row r="6" customFormat="false" ht="15.75" hidden="false" customHeight="true" outlineLevel="0" collapsed="false">
      <c r="A6" s="5" t="s">
        <v>4</v>
      </c>
      <c r="B6" s="5"/>
    </row>
    <row r="7" customFormat="false" ht="33" hidden="false" customHeight="true" outlineLevel="0" collapsed="false">
      <c r="A7" s="6" t="s">
        <v>5</v>
      </c>
      <c r="B7" s="6"/>
    </row>
    <row r="8" customFormat="false" ht="33" hidden="false" customHeight="true" outlineLevel="0" collapsed="false">
      <c r="A8" s="6" t="s">
        <v>6</v>
      </c>
      <c r="B8" s="6"/>
    </row>
    <row r="9" customFormat="false" ht="33" hidden="false" customHeight="true" outlineLevel="0" collapsed="false">
      <c r="A9" s="6" t="s">
        <v>7</v>
      </c>
      <c r="B9" s="6"/>
    </row>
    <row r="10" customFormat="false" ht="18" hidden="false" customHeight="true" outlineLevel="0" collapsed="false">
      <c r="A10" s="6" t="s">
        <v>8</v>
      </c>
      <c r="B10" s="6"/>
    </row>
    <row r="11" customFormat="false" ht="19.5" hidden="false" customHeight="true" outlineLevel="0" collapsed="false">
      <c r="A11" s="7" t="s">
        <v>9</v>
      </c>
      <c r="B11" s="7"/>
    </row>
    <row r="12" customFormat="false" ht="37.5" hidden="false" customHeight="true" outlineLevel="0" collapsed="false">
      <c r="A12" s="8" t="s">
        <v>10</v>
      </c>
      <c r="B12" s="8"/>
    </row>
    <row r="14" customFormat="false" ht="18" hidden="false" customHeight="true" outlineLevel="0" collapsed="false">
      <c r="B14" s="9" t="s">
        <v>11</v>
      </c>
    </row>
    <row r="15" customFormat="false" ht="18" hidden="false" customHeight="true" outlineLevel="0" collapsed="false">
      <c r="B15" s="10" t="s">
        <v>12</v>
      </c>
    </row>
    <row r="16" customFormat="false" ht="18" hidden="false" customHeight="true" outlineLevel="0" collapsed="false">
      <c r="B16" s="10" t="s">
        <v>13</v>
      </c>
    </row>
    <row r="17" customFormat="false" ht="18" hidden="false" customHeight="true" outlineLevel="0" collapsed="false">
      <c r="B17" s="10" t="s">
        <v>14</v>
      </c>
    </row>
    <row r="18" customFormat="false" ht="18" hidden="false" customHeight="true" outlineLevel="0" collapsed="false">
      <c r="B18" s="10" t="s">
        <v>15</v>
      </c>
    </row>
    <row r="19" customFormat="false" ht="18" hidden="false" customHeight="true" outlineLevel="0" collapsed="false">
      <c r="B19" s="10" t="s">
        <v>16</v>
      </c>
    </row>
    <row r="20" customFormat="false" ht="18" hidden="false" customHeight="true" outlineLevel="0" collapsed="false">
      <c r="B20" s="10"/>
    </row>
    <row r="21" customFormat="false" ht="18" hidden="false" customHeight="true" outlineLevel="0" collapsed="false">
      <c r="B21" s="9" t="s">
        <v>17</v>
      </c>
    </row>
    <row r="22" customFormat="false" ht="18" hidden="false" customHeight="true" outlineLevel="0" collapsed="false">
      <c r="B22" s="10" t="s">
        <v>18</v>
      </c>
    </row>
    <row r="23" customFormat="false" ht="16.5" hidden="false" customHeight="true" outlineLevel="0" collapsed="false">
      <c r="B23" s="11" t="s">
        <v>19</v>
      </c>
    </row>
    <row r="24" customFormat="false" ht="18" hidden="false" customHeight="true" outlineLevel="0" collapsed="false">
      <c r="B24" s="10" t="s">
        <v>20</v>
      </c>
    </row>
    <row r="25" customFormat="false" ht="18" hidden="false" customHeight="true" outlineLevel="0" collapsed="false">
      <c r="B25" s="10" t="s">
        <v>21</v>
      </c>
    </row>
    <row r="26" customFormat="false" ht="16.5" hidden="false" customHeight="true" outlineLevel="0" collapsed="false">
      <c r="B26" s="11" t="s">
        <v>22</v>
      </c>
    </row>
    <row r="27" customFormat="false" ht="18" hidden="false" customHeight="true" outlineLevel="0" collapsed="false">
      <c r="B27" s="10" t="s">
        <v>23</v>
      </c>
    </row>
    <row r="28" customFormat="false" ht="30" hidden="false" customHeight="true" outlineLevel="0" collapsed="false">
      <c r="B28" s="11" t="s">
        <v>24</v>
      </c>
    </row>
    <row r="29" customFormat="false" ht="18" hidden="false" customHeight="true" outlineLevel="0" collapsed="false">
      <c r="B29" s="10" t="s">
        <v>25</v>
      </c>
    </row>
    <row r="30" customFormat="false" ht="16.5" hidden="false" customHeight="true" outlineLevel="0" collapsed="false">
      <c r="B30" s="11" t="s">
        <v>26</v>
      </c>
    </row>
    <row r="31" customFormat="false" ht="18" hidden="false" customHeight="true" outlineLevel="0" collapsed="false">
      <c r="B31" s="10" t="s">
        <v>27</v>
      </c>
    </row>
    <row r="32" customFormat="false" ht="16.5" hidden="false" customHeight="true" outlineLevel="0" collapsed="false">
      <c r="B32" s="11" t="s">
        <v>28</v>
      </c>
    </row>
    <row r="33" customFormat="false" ht="18" hidden="false" customHeight="true" outlineLevel="0" collapsed="false">
      <c r="B33" s="10"/>
    </row>
    <row r="34" customFormat="false" ht="18" hidden="false" customHeight="true" outlineLevel="0" collapsed="false">
      <c r="B34" s="9" t="s">
        <v>29</v>
      </c>
    </row>
    <row r="35" customFormat="false" ht="18" hidden="false" customHeight="true" outlineLevel="0" collapsed="false">
      <c r="B35" s="10" t="s">
        <v>30</v>
      </c>
    </row>
    <row r="36" customFormat="false" ht="18" hidden="false" customHeight="true" outlineLevel="0" collapsed="false">
      <c r="B36" s="10" t="s">
        <v>31</v>
      </c>
    </row>
    <row r="37" customFormat="false" ht="18" hidden="false" customHeight="true" outlineLevel="0" collapsed="false">
      <c r="B37" s="10"/>
    </row>
    <row r="38" customFormat="false" ht="18" hidden="false" customHeight="true" outlineLevel="0" collapsed="false">
      <c r="B38" s="9" t="s">
        <v>32</v>
      </c>
    </row>
    <row r="39" customFormat="false" ht="18" hidden="false" customHeight="true" outlineLevel="0" collapsed="false">
      <c r="B39" s="10" t="s">
        <v>33</v>
      </c>
    </row>
    <row r="40" customFormat="false" ht="18" hidden="false" customHeight="true" outlineLevel="0" collapsed="false">
      <c r="B40" s="10" t="s">
        <v>34</v>
      </c>
    </row>
    <row r="41" customFormat="false" ht="18" hidden="false" customHeight="true" outlineLevel="0" collapsed="false">
      <c r="B41" s="10"/>
    </row>
    <row r="42" customFormat="false" ht="18" hidden="false" customHeight="true" outlineLevel="0" collapsed="false">
      <c r="B42" s="9" t="s">
        <v>35</v>
      </c>
    </row>
    <row r="43" customFormat="false" ht="18" hidden="false" customHeight="true" outlineLevel="0" collapsed="false">
      <c r="B43" s="10" t="s">
        <v>36</v>
      </c>
    </row>
    <row r="44" customFormat="false" ht="18" hidden="false" customHeight="true" outlineLevel="0" collapsed="false">
      <c r="B44" s="10" t="s">
        <v>37</v>
      </c>
    </row>
    <row r="45" customFormat="false" ht="18" hidden="false" customHeight="true" outlineLevel="0" collapsed="false">
      <c r="B45" s="10" t="s">
        <v>38</v>
      </c>
    </row>
    <row r="46" customFormat="false" ht="18" hidden="false" customHeight="true" outlineLevel="0" collapsed="false">
      <c r="B46" s="10" t="s">
        <v>39</v>
      </c>
    </row>
    <row r="47" customFormat="false" ht="18" hidden="false" customHeight="true" outlineLevel="0" collapsed="false">
      <c r="B47" s="10"/>
    </row>
    <row r="48" customFormat="false" ht="18" hidden="false" customHeight="true" outlineLevel="0" collapsed="false">
      <c r="B48" s="10" t="s">
        <v>40</v>
      </c>
    </row>
  </sheetData>
  <mergeCells count="8">
    <mergeCell ref="A5:B5"/>
    <mergeCell ref="A6:B6"/>
    <mergeCell ref="A7:B7"/>
    <mergeCell ref="A8:B8"/>
    <mergeCell ref="A9:B9"/>
    <mergeCell ref="A10:B10"/>
    <mergeCell ref="A11:B11"/>
    <mergeCell ref="A12:B12"/>
  </mergeCells>
  <hyperlinks>
    <hyperlink ref="A11" r:id="rId1" display="Try it free for 14 days: foxpedite.com/register  →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4" min="3" style="0" width="9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7" min="7" style="0" width="15"/>
  </cols>
  <sheetData>
    <row r="1" customFormat="false" ht="33.75" hidden="false" customHeight="true" outlineLevel="0" collapsed="false">
      <c r="B1" s="12" t="s">
        <v>41</v>
      </c>
      <c r="C1" s="12"/>
      <c r="D1" s="13" t="s">
        <v>42</v>
      </c>
      <c r="E1" s="13"/>
      <c r="F1" s="13"/>
      <c r="G1" s="13"/>
    </row>
    <row r="2" customFormat="false" ht="15" hidden="false" customHeight="false" outlineLevel="0" collapsed="false">
      <c r="B2" s="14" t="s">
        <v>43</v>
      </c>
    </row>
    <row r="3" customFormat="false" ht="15" hidden="false" customHeight="false" outlineLevel="0" collapsed="false">
      <c r="F3" s="15" t="s">
        <v>44</v>
      </c>
      <c r="G3" s="16" t="str">
        <f aca="false">POPrefix&amp;IF(COUNT('PO Log'!A6:A205)=0,POStart,MAX('PO Log'!A6:A205)+1)</f>
        <v>PO-1009</v>
      </c>
    </row>
    <row r="4" customFormat="false" ht="15" hidden="false" customHeight="false" outlineLevel="0" collapsed="false">
      <c r="A4" s="17" t="s">
        <v>45</v>
      </c>
      <c r="F4" s="15" t="s">
        <v>46</v>
      </c>
      <c r="G4" s="18" t="n">
        <v>46338</v>
      </c>
    </row>
    <row r="5" customFormat="false" ht="15" hidden="false" customHeight="false" outlineLevel="0" collapsed="false">
      <c r="A5" s="19" t="s">
        <v>47</v>
      </c>
      <c r="B5" s="20" t="s">
        <v>48</v>
      </c>
      <c r="F5" s="15" t="s">
        <v>49</v>
      </c>
      <c r="G5" s="21" t="s">
        <v>50</v>
      </c>
    </row>
    <row r="6" customFormat="false" ht="15" hidden="false" customHeight="false" outlineLevel="0" collapsed="false">
      <c r="A6" s="19" t="s">
        <v>51</v>
      </c>
      <c r="B6" s="20" t="s">
        <v>52</v>
      </c>
      <c r="F6" s="15" t="s">
        <v>53</v>
      </c>
      <c r="G6" s="21" t="s">
        <v>54</v>
      </c>
    </row>
    <row r="7" customFormat="false" ht="15" hidden="false" customHeight="false" outlineLevel="0" collapsed="false">
      <c r="A7" s="19" t="s">
        <v>55</v>
      </c>
      <c r="B7" s="20" t="s">
        <v>56</v>
      </c>
      <c r="F7" s="15" t="s">
        <v>57</v>
      </c>
      <c r="G7" s="18" t="n">
        <v>46350</v>
      </c>
    </row>
    <row r="8" customFormat="false" ht="15" hidden="false" customHeight="false" outlineLevel="0" collapsed="false">
      <c r="F8" s="15" t="s">
        <v>58</v>
      </c>
      <c r="G8" s="21" t="s">
        <v>59</v>
      </c>
    </row>
    <row r="9" customFormat="false" ht="15" hidden="false" customHeight="false" outlineLevel="0" collapsed="false">
      <c r="A9" s="17" t="s">
        <v>60</v>
      </c>
    </row>
    <row r="10" customFormat="false" ht="15" hidden="false" customHeight="false" outlineLevel="0" collapsed="false">
      <c r="A10" s="19" t="s">
        <v>61</v>
      </c>
      <c r="B10" s="20" t="s">
        <v>62</v>
      </c>
    </row>
    <row r="12" customFormat="false" ht="15" hidden="false" customHeight="false" outlineLevel="0" collapsed="false">
      <c r="A12" s="22" t="s">
        <v>63</v>
      </c>
    </row>
    <row r="13" customFormat="false" ht="30" hidden="false" customHeight="true" outlineLevel="0" collapsed="false">
      <c r="A13" s="23" t="s">
        <v>64</v>
      </c>
      <c r="B13" s="23" t="s">
        <v>65</v>
      </c>
      <c r="C13" s="23" t="s">
        <v>66</v>
      </c>
      <c r="D13" s="23" t="s">
        <v>67</v>
      </c>
      <c r="E13" s="23" t="s">
        <v>68</v>
      </c>
      <c r="F13" s="23" t="s">
        <v>69</v>
      </c>
      <c r="G13" s="23" t="s">
        <v>70</v>
      </c>
    </row>
    <row r="14" customFormat="false" ht="15" hidden="false" customHeight="false" outlineLevel="0" collapsed="false">
      <c r="A14" s="24" t="s">
        <v>71</v>
      </c>
      <c r="B14" s="24" t="s">
        <v>72</v>
      </c>
      <c r="C14" s="24" t="n">
        <v>12</v>
      </c>
      <c r="D14" s="24" t="s">
        <v>73</v>
      </c>
      <c r="E14" s="25" t="n">
        <v>64.5</v>
      </c>
      <c r="F14" s="24" t="s">
        <v>74</v>
      </c>
      <c r="G14" s="26" t="n">
        <f aca="false">IF(OR(C14="",E14=""),"",C14*E14)</f>
        <v>774</v>
      </c>
    </row>
    <row r="15" customFormat="false" ht="15" hidden="false" customHeight="false" outlineLevel="0" collapsed="false">
      <c r="A15" s="24" t="s">
        <v>75</v>
      </c>
      <c r="B15" s="24" t="s">
        <v>76</v>
      </c>
      <c r="C15" s="24" t="n">
        <v>20</v>
      </c>
      <c r="D15" s="24" t="s">
        <v>73</v>
      </c>
      <c r="E15" s="25" t="n">
        <v>38.75</v>
      </c>
      <c r="F15" s="24" t="s">
        <v>74</v>
      </c>
      <c r="G15" s="26" t="n">
        <f aca="false">IF(OR(C15="",E15=""),"",C15*E15)</f>
        <v>775</v>
      </c>
    </row>
    <row r="16" customFormat="false" ht="15" hidden="false" customHeight="false" outlineLevel="0" collapsed="false">
      <c r="A16" s="24" t="s">
        <v>77</v>
      </c>
      <c r="B16" s="24" t="s">
        <v>78</v>
      </c>
      <c r="C16" s="24" t="n">
        <v>2</v>
      </c>
      <c r="D16" s="24" t="s">
        <v>79</v>
      </c>
      <c r="E16" s="25" t="n">
        <v>189</v>
      </c>
      <c r="F16" s="24" t="s">
        <v>74</v>
      </c>
      <c r="G16" s="26" t="n">
        <f aca="false">IF(OR(C16="",E16=""),"",C16*E16)</f>
        <v>378</v>
      </c>
    </row>
    <row r="17" customFormat="false" ht="15" hidden="false" customHeight="false" outlineLevel="0" collapsed="false">
      <c r="A17" s="24" t="s">
        <v>80</v>
      </c>
      <c r="B17" s="24" t="s">
        <v>81</v>
      </c>
      <c r="C17" s="24" t="n">
        <v>1</v>
      </c>
      <c r="D17" s="24" t="s">
        <v>82</v>
      </c>
      <c r="E17" s="25" t="n">
        <v>365</v>
      </c>
      <c r="F17" s="24" t="s">
        <v>83</v>
      </c>
      <c r="G17" s="26" t="n">
        <f aca="false">IF(OR(C17="",E17=""),"",C17*E17)</f>
        <v>365</v>
      </c>
    </row>
    <row r="18" customFormat="false" ht="15" hidden="false" customHeight="false" outlineLevel="0" collapsed="false">
      <c r="A18" s="27"/>
      <c r="B18" s="27"/>
      <c r="C18" s="27"/>
      <c r="D18" s="27"/>
      <c r="E18" s="28"/>
      <c r="F18" s="27"/>
      <c r="G18" s="26" t="str">
        <f aca="false">IF(OR(C18="",E18=""),"",C18*E18)</f>
        <v/>
      </c>
    </row>
    <row r="19" customFormat="false" ht="15" hidden="false" customHeight="false" outlineLevel="0" collapsed="false">
      <c r="A19" s="27"/>
      <c r="B19" s="27"/>
      <c r="C19" s="27"/>
      <c r="D19" s="27"/>
      <c r="E19" s="28"/>
      <c r="F19" s="27"/>
      <c r="G19" s="26" t="str">
        <f aca="false">IF(OR(C19="",E19=""),"",C19*E19)</f>
        <v/>
      </c>
    </row>
    <row r="20" customFormat="false" ht="15" hidden="false" customHeight="false" outlineLevel="0" collapsed="false">
      <c r="A20" s="27"/>
      <c r="B20" s="27"/>
      <c r="C20" s="27"/>
      <c r="D20" s="27"/>
      <c r="E20" s="28"/>
      <c r="F20" s="27"/>
      <c r="G20" s="26" t="str">
        <f aca="false">IF(OR(C20="",E20=""),"",C20*E20)</f>
        <v/>
      </c>
    </row>
    <row r="21" customFormat="false" ht="15" hidden="false" customHeight="false" outlineLevel="0" collapsed="false">
      <c r="A21" s="27"/>
      <c r="B21" s="27"/>
      <c r="C21" s="27"/>
      <c r="D21" s="27"/>
      <c r="E21" s="28"/>
      <c r="F21" s="27"/>
      <c r="G21" s="26" t="str">
        <f aca="false">IF(OR(C21="",E21=""),"",C21*E21)</f>
        <v/>
      </c>
    </row>
    <row r="22" customFormat="false" ht="15" hidden="false" customHeight="false" outlineLevel="0" collapsed="false">
      <c r="A22" s="27"/>
      <c r="B22" s="27"/>
      <c r="C22" s="27"/>
      <c r="D22" s="27"/>
      <c r="E22" s="28"/>
      <c r="F22" s="27"/>
      <c r="G22" s="26" t="str">
        <f aca="false">IF(OR(C22="",E22=""),"",C22*E22)</f>
        <v/>
      </c>
    </row>
    <row r="23" customFormat="false" ht="15" hidden="false" customHeight="false" outlineLevel="0" collapsed="false">
      <c r="A23" s="27"/>
      <c r="B23" s="27"/>
      <c r="C23" s="27"/>
      <c r="D23" s="27"/>
      <c r="E23" s="28"/>
      <c r="F23" s="27"/>
      <c r="G23" s="26" t="str">
        <f aca="false">IF(OR(C23="",E23=""),"",C23*E23)</f>
        <v/>
      </c>
    </row>
    <row r="24" customFormat="false" ht="15" hidden="false" customHeight="false" outlineLevel="0" collapsed="false">
      <c r="A24" s="27"/>
      <c r="B24" s="27"/>
      <c r="C24" s="27"/>
      <c r="D24" s="27"/>
      <c r="E24" s="28"/>
      <c r="F24" s="27"/>
      <c r="G24" s="26" t="str">
        <f aca="false">IF(OR(C24="",E24=""),"",C24*E24)</f>
        <v/>
      </c>
    </row>
    <row r="25" customFormat="false" ht="15" hidden="false" customHeight="false" outlineLevel="0" collapsed="false">
      <c r="A25" s="27"/>
      <c r="B25" s="27"/>
      <c r="C25" s="27"/>
      <c r="D25" s="27"/>
      <c r="E25" s="28"/>
      <c r="F25" s="27"/>
      <c r="G25" s="26" t="str">
        <f aca="false">IF(OR(C25="",E25=""),"",C25*E25)</f>
        <v/>
      </c>
    </row>
    <row r="27" customFormat="false" ht="15" hidden="false" customHeight="false" outlineLevel="0" collapsed="false">
      <c r="F27" s="29" t="s">
        <v>84</v>
      </c>
      <c r="G27" s="30" t="n">
        <f aca="false">SUM(G14:G25)</f>
        <v>2292</v>
      </c>
    </row>
    <row r="28" customFormat="false" ht="15" hidden="false" customHeight="false" outlineLevel="0" collapsed="false">
      <c r="F28" s="29" t="s">
        <v>85</v>
      </c>
      <c r="G28" s="30" t="n">
        <f aca="false">SUMIF(F14:F25,"Y",G14:G25)</f>
        <v>1927</v>
      </c>
    </row>
    <row r="29" customFormat="false" ht="15" hidden="false" customHeight="false" outlineLevel="0" collapsed="false">
      <c r="E29" s="31" t="s">
        <v>86</v>
      </c>
      <c r="F29" s="29" t="s">
        <v>87</v>
      </c>
      <c r="G29" s="32" t="n">
        <f aca="false">TaxRate</f>
        <v>0.0725</v>
      </c>
    </row>
    <row r="30" customFormat="false" ht="15" hidden="false" customHeight="false" outlineLevel="0" collapsed="false">
      <c r="F30" s="29" t="s">
        <v>88</v>
      </c>
      <c r="G30" s="30" t="n">
        <f aca="false">ROUND(G28*G29,2)</f>
        <v>139.71</v>
      </c>
    </row>
    <row r="31" customFormat="false" ht="15" hidden="false" customHeight="false" outlineLevel="0" collapsed="false">
      <c r="F31" s="29" t="s">
        <v>89</v>
      </c>
      <c r="G31" s="33" t="n">
        <v>45</v>
      </c>
    </row>
    <row r="32" customFormat="false" ht="15" hidden="false" customHeight="false" outlineLevel="0" collapsed="false">
      <c r="F32" s="29" t="s">
        <v>90</v>
      </c>
      <c r="G32" s="33" t="n">
        <v>0</v>
      </c>
    </row>
    <row r="33" customFormat="false" ht="15" hidden="false" customHeight="false" outlineLevel="0" collapsed="false">
      <c r="F33" s="34" t="s">
        <v>91</v>
      </c>
      <c r="G33" s="35" t="n">
        <f aca="false">G27+G30+G31+G32</f>
        <v>2476.71</v>
      </c>
    </row>
    <row r="35" customFormat="false" ht="15" hidden="false" customHeight="false" outlineLevel="0" collapsed="false">
      <c r="A35" s="19" t="s">
        <v>92</v>
      </c>
      <c r="B35" s="36" t="s">
        <v>93</v>
      </c>
    </row>
    <row r="36" customFormat="false" ht="15" hidden="false" customHeight="false" outlineLevel="0" collapsed="false">
      <c r="A36" s="19" t="s">
        <v>94</v>
      </c>
      <c r="B36" s="37" t="s">
        <v>95</v>
      </c>
    </row>
    <row r="38" customFormat="false" ht="15" hidden="false" customHeight="false" outlineLevel="0" collapsed="false">
      <c r="A38" s="38" t="s">
        <v>96</v>
      </c>
    </row>
    <row r="39" customFormat="false" ht="15" hidden="false" customHeight="false" outlineLevel="0" collapsed="false">
      <c r="A39" s="38" t="s">
        <v>97</v>
      </c>
    </row>
    <row r="41" customFormat="false" ht="15" hidden="false" customHeight="false" outlineLevel="0" collapsed="false">
      <c r="A41" s="39" t="s">
        <v>40</v>
      </c>
    </row>
  </sheetData>
  <mergeCells count="2">
    <mergeCell ref="B1:C1"/>
    <mergeCell ref="D1:G1"/>
  </mergeCells>
  <dataValidations count="2">
    <dataValidation allowBlank="true" errorStyle="stop" operator="between" showDropDown="false" showErrorMessage="false" showInputMessage="false" sqref="G6" type="list">
      <formula1>Departments</formula1>
      <formula2>0</formula2>
    </dataValidation>
    <dataValidation allowBlank="true" errorStyle="stop" operator="between" showDropDown="false" showErrorMessage="false" showInputMessage="false" sqref="F14:F2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2"/>
    <col collapsed="false" customWidth="true" hidden="false" outlineLevel="0" max="4" min="4" style="0" width="22"/>
    <col collapsed="false" customWidth="true" hidden="false" outlineLevel="0" max="5" min="5" style="0" width="15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28"/>
    <col collapsed="false" customWidth="true" hidden="false" outlineLevel="0" max="9" min="9" style="0" width="22"/>
    <col collapsed="false" customWidth="true" hidden="false" outlineLevel="0" max="10" min="10" style="0" width="16"/>
    <col collapsed="false" customWidth="true" hidden="false" outlineLevel="0" max="11" min="11" style="0" width="12"/>
    <col collapsed="false" customWidth="true" hidden="false" outlineLevel="0" max="12" min="12" style="0" width="16"/>
    <col collapsed="false" customWidth="true" hidden="false" outlineLevel="0" max="15" min="13" style="0" width="13"/>
    <col collapsed="false" customWidth="true" hidden="false" outlineLevel="0" max="16" min="16" style="0" width="14"/>
    <col collapsed="false" customWidth="true" hidden="false" outlineLevel="0" max="17" min="17" style="0" width="9"/>
    <col collapsed="false" customWidth="true" hidden="false" outlineLevel="0" max="18" min="18" style="0" width="13"/>
    <col collapsed="false" customWidth="true" hidden="false" outlineLevel="0" max="19" min="19" style="0" width="26"/>
    <col collapsed="false" customWidth="true" hidden="false" outlineLevel="0" max="20" min="20" style="0" width="14"/>
    <col collapsed="false" customWidth="true" hidden="false" outlineLevel="0" max="21" min="21" style="0" width="12"/>
    <col collapsed="false" customWidth="true" hidden="false" outlineLevel="0" max="22" min="22" style="0" width="8"/>
    <col collapsed="false" customWidth="true" hidden="false" outlineLevel="0" max="23" min="23" style="0" width="26"/>
    <col collapsed="false" customWidth="true" hidden="false" outlineLevel="0" max="24" min="24" style="0" width="12"/>
    <col collapsed="false" customWidth="true" hidden="false" outlineLevel="0" max="25" min="25" style="0" width="24"/>
    <col collapsed="false" customWidth="true" hidden="false" outlineLevel="0" max="26" min="26" style="0" width="9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98</v>
      </c>
      <c r="U2" s="19" t="s">
        <v>99</v>
      </c>
      <c r="W2" s="40" t="n">
        <f aca="false">SUM(P6:P205)</f>
        <v>9105.5</v>
      </c>
      <c r="X2" s="19" t="s">
        <v>100</v>
      </c>
      <c r="Y2" s="41" t="n">
        <f aca="false">COUNTIF(S6:S205,"?*")</f>
        <v>1</v>
      </c>
    </row>
    <row r="3" customFormat="false" ht="15" hidden="false" customHeight="false" outlineLevel="0" collapsed="false">
      <c r="A3" s="3" t="s">
        <v>101</v>
      </c>
      <c r="U3" s="19" t="s">
        <v>102</v>
      </c>
      <c r="W3" s="42" t="n">
        <f aca="false">COUNTIF(J6:J205,"Pending approval")</f>
        <v>1</v>
      </c>
    </row>
    <row r="4" customFormat="false" ht="15" hidden="false" customHeight="false" outlineLevel="0" collapsed="false">
      <c r="A4" s="43" t="s">
        <v>103</v>
      </c>
    </row>
    <row r="5" customFormat="false" ht="33.75" hidden="false" customHeight="true" outlineLevel="0" collapsed="false">
      <c r="A5" s="23" t="s">
        <v>104</v>
      </c>
      <c r="B5" s="23" t="s">
        <v>44</v>
      </c>
      <c r="C5" s="23" t="s">
        <v>46</v>
      </c>
      <c r="D5" s="23" t="s">
        <v>105</v>
      </c>
      <c r="E5" s="23" t="s">
        <v>49</v>
      </c>
      <c r="F5" s="23" t="s">
        <v>53</v>
      </c>
      <c r="G5" s="23" t="s">
        <v>106</v>
      </c>
      <c r="H5" s="23" t="s">
        <v>65</v>
      </c>
      <c r="I5" s="23" t="s">
        <v>107</v>
      </c>
      <c r="J5" s="23" t="s">
        <v>108</v>
      </c>
      <c r="K5" s="23" t="s">
        <v>109</v>
      </c>
      <c r="L5" s="23" t="s">
        <v>110</v>
      </c>
      <c r="M5" s="23" t="s">
        <v>111</v>
      </c>
      <c r="N5" s="23" t="s">
        <v>112</v>
      </c>
      <c r="O5" s="23" t="s">
        <v>113</v>
      </c>
      <c r="P5" s="23" t="s">
        <v>114</v>
      </c>
      <c r="Q5" s="23" t="s">
        <v>115</v>
      </c>
      <c r="R5" s="23" t="s">
        <v>116</v>
      </c>
      <c r="S5" s="23" t="s">
        <v>117</v>
      </c>
      <c r="T5" s="23" t="s">
        <v>118</v>
      </c>
      <c r="U5" s="23" t="s">
        <v>119</v>
      </c>
      <c r="V5" s="23" t="s">
        <v>120</v>
      </c>
      <c r="W5" s="23" t="s">
        <v>121</v>
      </c>
      <c r="X5" s="23" t="s">
        <v>122</v>
      </c>
      <c r="Y5" s="23" t="s">
        <v>123</v>
      </c>
      <c r="Z5" s="44" t="s">
        <v>124</v>
      </c>
    </row>
    <row r="6" customFormat="false" ht="15" hidden="false" customHeight="false" outlineLevel="0" collapsed="false">
      <c r="A6" s="45" t="n">
        <f aca="false">IF($C6="","",POStart+COUNTA($C$6:$C6)-1)</f>
        <v>1001</v>
      </c>
      <c r="B6" s="45" t="str">
        <f aca="false">IF($A6="","",POPrefix&amp;$A6)</f>
        <v>PO-1001</v>
      </c>
      <c r="C6" s="46" t="n">
        <v>46328</v>
      </c>
      <c r="D6" s="24" t="s">
        <v>125</v>
      </c>
      <c r="E6" s="24" t="s">
        <v>50</v>
      </c>
      <c r="F6" s="24" t="s">
        <v>54</v>
      </c>
      <c r="G6" s="24" t="s">
        <v>126</v>
      </c>
      <c r="H6" s="24" t="s">
        <v>127</v>
      </c>
      <c r="I6" s="24" t="s">
        <v>128</v>
      </c>
      <c r="J6" s="24" t="s">
        <v>129</v>
      </c>
      <c r="K6" s="46" t="n">
        <v>46329</v>
      </c>
      <c r="L6" s="24" t="s">
        <v>130</v>
      </c>
      <c r="M6" s="25" t="n">
        <v>6840</v>
      </c>
      <c r="N6" s="25" t="n">
        <v>6840</v>
      </c>
      <c r="O6" s="25" t="n">
        <v>6840</v>
      </c>
      <c r="P6" s="26" t="n">
        <f aca="false">IF($C6="","",IF(OR($L6="Closed",$L6="Cancelled"),0,MAX(0,$M6-$O6)))</f>
        <v>0</v>
      </c>
      <c r="Q6" s="45" t="str">
        <f aca="true">IF(OR($C6="",$L6="Closed",$L6="Cancelled",$L6="Invoiced"),"",MAX(0,TODAY()-$C6))</f>
        <v/>
      </c>
      <c r="R6" s="46" t="n">
        <v>46335</v>
      </c>
      <c r="S6" s="47" t="str">
        <f aca="true">IF($C6="","",IF(AND($O6&gt;0,$O6&gt;$M6),"Invoice over PO - check",IF(AND($J6="Pending approval",TODAY()-$C6&gt;AlertDays),"Approval waiting",IF(AND($R6&lt;&gt;"",$R6&lt;TODAY(),OR($L6="Open",$L6="Partially received")),"Delivery overdue",""))))</f>
        <v/>
      </c>
      <c r="T6" s="24" t="s">
        <v>131</v>
      </c>
      <c r="U6" s="46" t="n">
        <v>46337</v>
      </c>
      <c r="V6" s="24" t="n">
        <v>30</v>
      </c>
      <c r="W6" s="24" t="s">
        <v>132</v>
      </c>
      <c r="X6" s="48" t="n">
        <f aca="false">IF(OR($U6="",$C6=""),"",$U6+IF($V6="",TermsDays,$V6))</f>
        <v>46367</v>
      </c>
      <c r="Y6" s="24" t="s">
        <v>133</v>
      </c>
      <c r="Z6" s="49" t="n">
        <f aca="false">IF($L6="Invoiced",COUNTIF($L$6:$L6,"Invoiced"),"")</f>
        <v>1</v>
      </c>
    </row>
    <row r="7" customFormat="false" ht="15" hidden="false" customHeight="false" outlineLevel="0" collapsed="false">
      <c r="A7" s="45" t="n">
        <f aca="false">IF($C7="","",POStart+COUNTA($C$6:$C7)-1)</f>
        <v>1002</v>
      </c>
      <c r="B7" s="45" t="str">
        <f aca="false">IF($A7="","",POPrefix&amp;$A7)</f>
        <v>PO-1002</v>
      </c>
      <c r="C7" s="46" t="n">
        <v>46329</v>
      </c>
      <c r="D7" s="24" t="s">
        <v>134</v>
      </c>
      <c r="E7" s="24" t="s">
        <v>135</v>
      </c>
      <c r="F7" s="24" t="s">
        <v>136</v>
      </c>
      <c r="G7" s="24" t="s">
        <v>137</v>
      </c>
      <c r="H7" s="24" t="s">
        <v>138</v>
      </c>
      <c r="I7" s="24" t="s">
        <v>128</v>
      </c>
      <c r="J7" s="24" t="s">
        <v>129</v>
      </c>
      <c r="K7" s="46" t="n">
        <v>46330</v>
      </c>
      <c r="L7" s="24" t="s">
        <v>139</v>
      </c>
      <c r="M7" s="25" t="n">
        <v>1215.5</v>
      </c>
      <c r="N7" s="25" t="n">
        <v>1215.5</v>
      </c>
      <c r="O7" s="25" t="n">
        <v>0</v>
      </c>
      <c r="P7" s="26" t="n">
        <f aca="false">IF($C7="","",IF(OR($L7="Closed",$L7="Cancelled"),0,MAX(0,$M7-$O7)))</f>
        <v>1215.5</v>
      </c>
      <c r="Q7" s="45" t="n">
        <f aca="true">IF(OR($C7="",$L7="Closed",$L7="Cancelled",$L7="Invoiced"),"",MAX(0,TODAY()-$C7))</f>
        <v>0</v>
      </c>
      <c r="R7" s="46" t="n">
        <v>46334</v>
      </c>
      <c r="S7" s="47" t="str">
        <f aca="true">IF($C7="","",IF(AND($O7&gt;0,$O7&gt;$M7),"Invoice over PO - check",IF(AND($J7="Pending approval",TODAY()-$C7&gt;AlertDays),"Approval waiting",IF(AND($R7&lt;&gt;"",$R7&lt;TODAY(),OR($L7="Open",$L7="Partially received")),"Delivery overdue",""))))</f>
        <v/>
      </c>
      <c r="T7" s="24"/>
      <c r="U7" s="46"/>
      <c r="V7" s="24" t="n">
        <v>30</v>
      </c>
      <c r="W7" s="24" t="s">
        <v>140</v>
      </c>
      <c r="X7" s="48" t="str">
        <f aca="false">IF(OR($U7="",$C7=""),"",$U7+IF($V7="",TermsDays,$V7))</f>
        <v/>
      </c>
      <c r="Y7" s="24" t="s">
        <v>133</v>
      </c>
      <c r="Z7" s="49" t="str">
        <f aca="false">IF($L7="Invoiced",COUNTIF($L$6:$L7,"Invoiced"),"")</f>
        <v/>
      </c>
    </row>
    <row r="8" customFormat="false" ht="15" hidden="false" customHeight="false" outlineLevel="0" collapsed="false">
      <c r="A8" s="45" t="n">
        <f aca="false">IF($C8="","",POStart+COUNTA($C$6:$C8)-1)</f>
        <v>1003</v>
      </c>
      <c r="B8" s="45" t="str">
        <f aca="false">IF($A8="","",POPrefix&amp;$A8)</f>
        <v>PO-1003</v>
      </c>
      <c r="C8" s="46" t="n">
        <v>46330</v>
      </c>
      <c r="D8" s="24" t="s">
        <v>141</v>
      </c>
      <c r="E8" s="24" t="s">
        <v>142</v>
      </c>
      <c r="F8" s="24" t="s">
        <v>143</v>
      </c>
      <c r="G8" s="24" t="s">
        <v>144</v>
      </c>
      <c r="H8" s="24" t="s">
        <v>145</v>
      </c>
      <c r="I8" s="24" t="s">
        <v>146</v>
      </c>
      <c r="J8" s="24" t="s">
        <v>129</v>
      </c>
      <c r="K8" s="46" t="n">
        <v>46332</v>
      </c>
      <c r="L8" s="24" t="s">
        <v>147</v>
      </c>
      <c r="M8" s="25" t="n">
        <v>3960</v>
      </c>
      <c r="N8" s="25" t="n">
        <v>1980</v>
      </c>
      <c r="O8" s="25" t="n">
        <v>0</v>
      </c>
      <c r="P8" s="26" t="n">
        <f aca="false">IF($C8="","",IF(OR($L8="Closed",$L8="Cancelled"),0,MAX(0,$M8-$O8)))</f>
        <v>3960</v>
      </c>
      <c r="Q8" s="45" t="n">
        <f aca="true">IF(OR($C8="",$L8="Closed",$L8="Cancelled",$L8="Invoiced"),"",MAX(0,TODAY()-$C8))</f>
        <v>0</v>
      </c>
      <c r="R8" s="46" t="n">
        <v>46340</v>
      </c>
      <c r="S8" s="47" t="str">
        <f aca="true">IF($C8="","",IF(AND($O8&gt;0,$O8&gt;$M8),"Invoice over PO - check",IF(AND($J8="Pending approval",TODAY()-$C8&gt;AlertDays),"Approval waiting",IF(AND($R8&lt;&gt;"",$R8&lt;TODAY(),OR($L8="Open",$L8="Partially received")),"Delivery overdue",""))))</f>
        <v/>
      </c>
      <c r="T8" s="24"/>
      <c r="U8" s="46"/>
      <c r="V8" s="24" t="n">
        <v>30</v>
      </c>
      <c r="W8" s="24" t="s">
        <v>148</v>
      </c>
      <c r="X8" s="48" t="str">
        <f aca="false">IF(OR($U8="",$C8=""),"",$U8+IF($V8="",TermsDays,$V8))</f>
        <v/>
      </c>
      <c r="Y8" s="24" t="s">
        <v>133</v>
      </c>
      <c r="Z8" s="49" t="str">
        <f aca="false">IF($L8="Invoiced",COUNTIF($L$6:$L8,"Invoiced"),"")</f>
        <v/>
      </c>
    </row>
    <row r="9" customFormat="false" ht="15" hidden="false" customHeight="false" outlineLevel="0" collapsed="false">
      <c r="A9" s="45" t="n">
        <f aca="false">IF($C9="","",POStart+COUNTA($C$6:$C9)-1)</f>
        <v>1004</v>
      </c>
      <c r="B9" s="45" t="str">
        <f aca="false">IF($A9="","",POPrefix&amp;$A9)</f>
        <v>PO-1004</v>
      </c>
      <c r="C9" s="46" t="n">
        <v>46332</v>
      </c>
      <c r="D9" s="24" t="s">
        <v>48</v>
      </c>
      <c r="E9" s="24" t="s">
        <v>50</v>
      </c>
      <c r="F9" s="24" t="s">
        <v>54</v>
      </c>
      <c r="G9" s="24" t="s">
        <v>149</v>
      </c>
      <c r="H9" s="24" t="s">
        <v>150</v>
      </c>
      <c r="I9" s="24" t="s">
        <v>128</v>
      </c>
      <c r="J9" s="24" t="s">
        <v>151</v>
      </c>
      <c r="K9" s="46"/>
      <c r="L9" s="24" t="s">
        <v>152</v>
      </c>
      <c r="M9" s="25" t="n">
        <v>2480</v>
      </c>
      <c r="N9" s="25" t="n">
        <v>0</v>
      </c>
      <c r="O9" s="25" t="n">
        <v>0</v>
      </c>
      <c r="P9" s="26" t="n">
        <f aca="false">IF($C9="","",IF(OR($L9="Closed",$L9="Cancelled"),0,MAX(0,$M9-$O9)))</f>
        <v>2480</v>
      </c>
      <c r="Q9" s="45" t="n">
        <f aca="true">IF(OR($C9="",$L9="Closed",$L9="Cancelled",$L9="Invoiced"),"",MAX(0,TODAY()-$C9))</f>
        <v>0</v>
      </c>
      <c r="R9" s="46" t="n">
        <v>46344</v>
      </c>
      <c r="S9" s="47" t="str">
        <f aca="true">IF($C9="","",IF(AND($O9&gt;0,$O9&gt;$M9),"Invoice over PO - check",IF(AND($J9="Pending approval",TODAY()-$C9&gt;AlertDays),"Approval waiting",IF(AND($R9&lt;&gt;"",$R9&lt;TODAY(),OR($L9="Open",$L9="Partially received")),"Delivery overdue",""))))</f>
        <v/>
      </c>
      <c r="T9" s="24"/>
      <c r="U9" s="46"/>
      <c r="V9" s="24" t="n">
        <v>30</v>
      </c>
      <c r="W9" s="24" t="s">
        <v>153</v>
      </c>
      <c r="X9" s="48" t="str">
        <f aca="false">IF(OR($U9="",$C9=""),"",$U9+IF($V9="",TermsDays,$V9))</f>
        <v/>
      </c>
      <c r="Y9" s="24" t="s">
        <v>133</v>
      </c>
      <c r="Z9" s="49" t="str">
        <f aca="false">IF($L9="Invoiced",COUNTIF($L$6:$L9,"Invoiced"),"")</f>
        <v/>
      </c>
    </row>
    <row r="10" customFormat="false" ht="15" hidden="false" customHeight="false" outlineLevel="0" collapsed="false">
      <c r="A10" s="45" t="n">
        <f aca="false">IF($C10="","",POStart+COUNTA($C$6:$C10)-1)</f>
        <v>1005</v>
      </c>
      <c r="B10" s="45" t="str">
        <f aca="false">IF($A10="","",POPrefix&amp;$A10)</f>
        <v>PO-1005</v>
      </c>
      <c r="C10" s="46" t="n">
        <v>46333</v>
      </c>
      <c r="D10" s="24" t="s">
        <v>154</v>
      </c>
      <c r="E10" s="24" t="s">
        <v>155</v>
      </c>
      <c r="F10" s="24" t="s">
        <v>54</v>
      </c>
      <c r="G10" s="24" t="s">
        <v>156</v>
      </c>
      <c r="H10" s="24" t="s">
        <v>157</v>
      </c>
      <c r="I10" s="24" t="s">
        <v>158</v>
      </c>
      <c r="J10" s="24" t="s">
        <v>129</v>
      </c>
      <c r="K10" s="46" t="n">
        <v>46336</v>
      </c>
      <c r="L10" s="24" t="s">
        <v>130</v>
      </c>
      <c r="M10" s="25" t="n">
        <v>18500</v>
      </c>
      <c r="N10" s="25" t="n">
        <v>18500</v>
      </c>
      <c r="O10" s="25" t="n">
        <v>18900</v>
      </c>
      <c r="P10" s="26" t="n">
        <f aca="false">IF($C10="","",IF(OR($L10="Closed",$L10="Cancelled"),0,MAX(0,$M10-$O10)))</f>
        <v>0</v>
      </c>
      <c r="Q10" s="45" t="str">
        <f aca="true">IF(OR($C10="",$L10="Closed",$L10="Cancelled",$L10="Invoiced"),"",MAX(0,TODAY()-$C10))</f>
        <v/>
      </c>
      <c r="R10" s="46" t="n">
        <v>46354</v>
      </c>
      <c r="S10" s="47" t="str">
        <f aca="true">IF($C10="","",IF(AND($O10&gt;0,$O10&gt;$M10),"Invoice over PO - check",IF(AND($J10="Pending approval",TODAY()-$C10&gt;AlertDays),"Approval waiting",IF(AND($R10&lt;&gt;"",$R10&lt;TODAY(),OR($L10="Open",$L10="Partially received")),"Delivery overdue",""))))</f>
        <v>Invoice over PO - check</v>
      </c>
      <c r="T10" s="24" t="s">
        <v>159</v>
      </c>
      <c r="U10" s="46" t="n">
        <v>46359</v>
      </c>
      <c r="V10" s="24" t="n">
        <v>45</v>
      </c>
      <c r="W10" s="24" t="s">
        <v>160</v>
      </c>
      <c r="X10" s="48" t="n">
        <f aca="false">IF(OR($U10="",$C10=""),"",$U10+IF($V10="",TermsDays,$V10))</f>
        <v>46404</v>
      </c>
      <c r="Y10" s="24" t="s">
        <v>133</v>
      </c>
      <c r="Z10" s="49" t="n">
        <f aca="false">IF($L10="Invoiced",COUNTIF($L$6:$L10,"Invoiced"),"")</f>
        <v>2</v>
      </c>
    </row>
    <row r="11" customFormat="false" ht="15" hidden="false" customHeight="false" outlineLevel="0" collapsed="false">
      <c r="A11" s="45" t="n">
        <f aca="false">IF($C11="","",POStart+COUNTA($C$6:$C11)-1)</f>
        <v>1006</v>
      </c>
      <c r="B11" s="45" t="str">
        <f aca="false">IF($A11="","",POPrefix&amp;$A11)</f>
        <v>PO-1006</v>
      </c>
      <c r="C11" s="46" t="n">
        <v>46334</v>
      </c>
      <c r="D11" s="24" t="s">
        <v>161</v>
      </c>
      <c r="E11" s="24" t="s">
        <v>162</v>
      </c>
      <c r="F11" s="24" t="s">
        <v>163</v>
      </c>
      <c r="G11" s="24" t="s">
        <v>164</v>
      </c>
      <c r="H11" s="24" t="s">
        <v>165</v>
      </c>
      <c r="I11" s="24" t="s">
        <v>146</v>
      </c>
      <c r="J11" s="24" t="s">
        <v>129</v>
      </c>
      <c r="K11" s="46" t="n">
        <v>46334</v>
      </c>
      <c r="L11" s="24" t="s">
        <v>166</v>
      </c>
      <c r="M11" s="25" t="n">
        <v>342.18</v>
      </c>
      <c r="N11" s="25" t="n">
        <v>342.18</v>
      </c>
      <c r="O11" s="25" t="n">
        <v>342.18</v>
      </c>
      <c r="P11" s="26" t="n">
        <f aca="false">IF($C11="","",IF(OR($L11="Closed",$L11="Cancelled"),0,MAX(0,$M11-$O11)))</f>
        <v>0</v>
      </c>
      <c r="Q11" s="45" t="str">
        <f aca="true">IF(OR($C11="",$L11="Closed",$L11="Cancelled",$L11="Invoiced"),"",MAX(0,TODAY()-$C11))</f>
        <v/>
      </c>
      <c r="R11" s="46" t="n">
        <v>46338</v>
      </c>
      <c r="S11" s="47" t="str">
        <f aca="true">IF($C11="","",IF(AND($O11&gt;0,$O11&gt;$M11),"Invoice over PO - check",IF(AND($J11="Pending approval",TODAY()-$C11&gt;AlertDays),"Approval waiting",IF(AND($R11&lt;&gt;"",$R11&lt;TODAY(),OR($L11="Open",$L11="Partially received")),"Delivery overdue",""))))</f>
        <v/>
      </c>
      <c r="T11" s="24" t="s">
        <v>167</v>
      </c>
      <c r="U11" s="46" t="n">
        <v>46343</v>
      </c>
      <c r="V11" s="24" t="n">
        <v>30</v>
      </c>
      <c r="W11" s="24" t="s">
        <v>168</v>
      </c>
      <c r="X11" s="48" t="n">
        <f aca="false">IF(OR($U11="",$C11=""),"",$U11+IF($V11="",TermsDays,$V11))</f>
        <v>46373</v>
      </c>
      <c r="Y11" s="24" t="s">
        <v>133</v>
      </c>
      <c r="Z11" s="49" t="str">
        <f aca="false">IF($L11="Invoiced",COUNTIF($L$6:$L11,"Invoiced"),"")</f>
        <v/>
      </c>
    </row>
    <row r="12" customFormat="false" ht="15" hidden="false" customHeight="false" outlineLevel="0" collapsed="false">
      <c r="A12" s="45" t="n">
        <f aca="false">IF($C12="","",POStart+COUNTA($C$6:$C12)-1)</f>
        <v>1007</v>
      </c>
      <c r="B12" s="45" t="str">
        <f aca="false">IF($A12="","",POPrefix&amp;$A12)</f>
        <v>PO-1007</v>
      </c>
      <c r="C12" s="46" t="n">
        <v>46336</v>
      </c>
      <c r="D12" s="24" t="s">
        <v>169</v>
      </c>
      <c r="E12" s="24" t="s">
        <v>170</v>
      </c>
      <c r="F12" s="24" t="s">
        <v>171</v>
      </c>
      <c r="G12" s="24" t="s">
        <v>172</v>
      </c>
      <c r="H12" s="24" t="s">
        <v>173</v>
      </c>
      <c r="I12" s="24" t="s">
        <v>146</v>
      </c>
      <c r="J12" s="24" t="s">
        <v>174</v>
      </c>
      <c r="K12" s="46"/>
      <c r="L12" s="24" t="s">
        <v>152</v>
      </c>
      <c r="M12" s="25" t="n">
        <v>1450</v>
      </c>
      <c r="N12" s="25" t="n">
        <v>0</v>
      </c>
      <c r="O12" s="25" t="n">
        <v>0</v>
      </c>
      <c r="P12" s="26" t="n">
        <f aca="false">IF($C12="","",IF(OR($L12="Closed",$L12="Cancelled"),0,MAX(0,$M12-$O12)))</f>
        <v>1450</v>
      </c>
      <c r="Q12" s="45" t="n">
        <f aca="true">IF(OR($C12="",$L12="Closed",$L12="Cancelled",$L12="Invoiced"),"",MAX(0,TODAY()-$C12))</f>
        <v>0</v>
      </c>
      <c r="R12" s="46" t="n">
        <v>46366</v>
      </c>
      <c r="S12" s="47" t="str">
        <f aca="true">IF($C12="","",IF(AND($O12&gt;0,$O12&gt;$M12),"Invoice over PO - check",IF(AND($J12="Pending approval",TODAY()-$C12&gt;AlertDays),"Approval waiting",IF(AND($R12&lt;&gt;"",$R12&lt;TODAY(),OR($L12="Open",$L12="Partially received")),"Delivery overdue",""))))</f>
        <v/>
      </c>
      <c r="T12" s="24"/>
      <c r="U12" s="46"/>
      <c r="V12" s="24" t="n">
        <v>30</v>
      </c>
      <c r="W12" s="24" t="s">
        <v>175</v>
      </c>
      <c r="X12" s="48" t="str">
        <f aca="false">IF(OR($U12="",$C12=""),"",$U12+IF($V12="",TermsDays,$V12))</f>
        <v/>
      </c>
      <c r="Y12" s="24" t="s">
        <v>133</v>
      </c>
      <c r="Z12" s="49" t="str">
        <f aca="false">IF($L12="Invoiced",COUNTIF($L$6:$L12,"Invoiced"),"")</f>
        <v/>
      </c>
    </row>
    <row r="13" customFormat="false" ht="15" hidden="false" customHeight="false" outlineLevel="0" collapsed="false">
      <c r="A13" s="45" t="n">
        <f aca="false">IF($C13="","",POStart+COUNTA($C$6:$C13)-1)</f>
        <v>1008</v>
      </c>
      <c r="B13" s="45" t="str">
        <f aca="false">IF($A13="","",POPrefix&amp;$A13)</f>
        <v>PO-1008</v>
      </c>
      <c r="C13" s="46" t="n">
        <v>46337</v>
      </c>
      <c r="D13" s="24" t="s">
        <v>125</v>
      </c>
      <c r="E13" s="24" t="s">
        <v>50</v>
      </c>
      <c r="F13" s="24" t="s">
        <v>54</v>
      </c>
      <c r="G13" s="24" t="s">
        <v>126</v>
      </c>
      <c r="H13" s="24" t="s">
        <v>176</v>
      </c>
      <c r="I13" s="24" t="s">
        <v>128</v>
      </c>
      <c r="J13" s="24" t="s">
        <v>177</v>
      </c>
      <c r="K13" s="46"/>
      <c r="L13" s="24" t="s">
        <v>178</v>
      </c>
      <c r="M13" s="25" t="n">
        <v>6840</v>
      </c>
      <c r="N13" s="25" t="n">
        <v>0</v>
      </c>
      <c r="O13" s="25" t="n">
        <v>0</v>
      </c>
      <c r="P13" s="26" t="n">
        <f aca="false">IF($C13="","",IF(OR($L13="Closed",$L13="Cancelled"),0,MAX(0,$M13-$O13)))</f>
        <v>0</v>
      </c>
      <c r="Q13" s="45" t="str">
        <f aca="true">IF(OR($C13="",$L13="Closed",$L13="Cancelled",$L13="Invoiced"),"",MAX(0,TODAY()-$C13))</f>
        <v/>
      </c>
      <c r="R13" s="46" t="n">
        <v>46344</v>
      </c>
      <c r="S13" s="47" t="str">
        <f aca="true">IF($C13="","",IF(AND($O13&gt;0,$O13&gt;$M13),"Invoice over PO - check",IF(AND($J13="Pending approval",TODAY()-$C13&gt;AlertDays),"Approval waiting",IF(AND($R13&lt;&gt;"",$R13&lt;TODAY(),OR($L13="Open",$L13="Partially received")),"Delivery overdue",""))))</f>
        <v/>
      </c>
      <c r="T13" s="24"/>
      <c r="U13" s="46"/>
      <c r="V13" s="24" t="n">
        <v>30</v>
      </c>
      <c r="W13" s="24" t="s">
        <v>132</v>
      </c>
      <c r="X13" s="48" t="str">
        <f aca="false">IF(OR($U13="",$C13=""),"",$U13+IF($V13="",TermsDays,$V13))</f>
        <v/>
      </c>
      <c r="Y13" s="24" t="s">
        <v>133</v>
      </c>
      <c r="Z13" s="49" t="str">
        <f aca="false">IF($L13="Invoiced",COUNTIF($L$6:$L13,"Invoiced"),"")</f>
        <v/>
      </c>
    </row>
    <row r="14" customFormat="false" ht="15" hidden="false" customHeight="false" outlineLevel="0" collapsed="false">
      <c r="A14" s="45" t="str">
        <f aca="false">IF($C14="","",POStart+COUNTA($C$6:$C14)-1)</f>
        <v/>
      </c>
      <c r="B14" s="45" t="str">
        <f aca="false">IF($A14="","",POPrefix&amp;$A14)</f>
        <v/>
      </c>
      <c r="C14" s="50"/>
      <c r="D14" s="27"/>
      <c r="E14" s="27"/>
      <c r="F14" s="27"/>
      <c r="G14" s="27"/>
      <c r="H14" s="27"/>
      <c r="I14" s="27"/>
      <c r="J14" s="27"/>
      <c r="K14" s="50"/>
      <c r="L14" s="27"/>
      <c r="M14" s="28"/>
      <c r="N14" s="28"/>
      <c r="O14" s="28"/>
      <c r="P14" s="26" t="str">
        <f aca="false">IF($C14="","",IF(OR($L14="Closed",$L14="Cancelled"),0,MAX(0,$M14-$O14)))</f>
        <v/>
      </c>
      <c r="Q14" s="45" t="str">
        <f aca="true">IF(OR($C14="",$L14="Closed",$L14="Cancelled",$L14="Invoiced"),"",MAX(0,TODAY()-$C14))</f>
        <v/>
      </c>
      <c r="R14" s="50"/>
      <c r="S14" s="47" t="str">
        <f aca="true">IF($C14="","",IF(AND($O14&gt;0,$O14&gt;$M14),"Invoice over PO - check",IF(AND($J14="Pending approval",TODAY()-$C14&gt;AlertDays),"Approval waiting",IF(AND($R14&lt;&gt;"",$R14&lt;TODAY(),OR($L14="Open",$L14="Partially received")),"Delivery overdue",""))))</f>
        <v/>
      </c>
      <c r="T14" s="27"/>
      <c r="U14" s="50"/>
      <c r="V14" s="27"/>
      <c r="W14" s="27"/>
      <c r="X14" s="48" t="str">
        <f aca="false">IF(OR($U14="",$C14=""),"",$U14+IF($V14="",TermsDays,$V14))</f>
        <v/>
      </c>
      <c r="Y14" s="27"/>
      <c r="Z14" s="49" t="str">
        <f aca="false">IF($L14="Invoiced",COUNTIF($L$6:$L14,"Invoiced"),"")</f>
        <v/>
      </c>
    </row>
    <row r="15" customFormat="false" ht="15" hidden="false" customHeight="false" outlineLevel="0" collapsed="false">
      <c r="A15" s="45" t="str">
        <f aca="false">IF($C15="","",POStart+COUNTA($C$6:$C15)-1)</f>
        <v/>
      </c>
      <c r="B15" s="45" t="str">
        <f aca="false">IF($A15="","",POPrefix&amp;$A15)</f>
        <v/>
      </c>
      <c r="C15" s="50"/>
      <c r="D15" s="27"/>
      <c r="E15" s="27"/>
      <c r="F15" s="27"/>
      <c r="G15" s="27"/>
      <c r="H15" s="27"/>
      <c r="I15" s="27"/>
      <c r="J15" s="27"/>
      <c r="K15" s="50"/>
      <c r="L15" s="27"/>
      <c r="M15" s="28"/>
      <c r="N15" s="28"/>
      <c r="O15" s="28"/>
      <c r="P15" s="26" t="str">
        <f aca="false">IF($C15="","",IF(OR($L15="Closed",$L15="Cancelled"),0,MAX(0,$M15-$O15)))</f>
        <v/>
      </c>
      <c r="Q15" s="45" t="str">
        <f aca="true">IF(OR($C15="",$L15="Closed",$L15="Cancelled",$L15="Invoiced"),"",MAX(0,TODAY()-$C15))</f>
        <v/>
      </c>
      <c r="R15" s="50"/>
      <c r="S15" s="47" t="str">
        <f aca="true">IF($C15="","",IF(AND($O15&gt;0,$O15&gt;$M15),"Invoice over PO - check",IF(AND($J15="Pending approval",TODAY()-$C15&gt;AlertDays),"Approval waiting",IF(AND($R15&lt;&gt;"",$R15&lt;TODAY(),OR($L15="Open",$L15="Partially received")),"Delivery overdue",""))))</f>
        <v/>
      </c>
      <c r="T15" s="27"/>
      <c r="U15" s="50"/>
      <c r="V15" s="27"/>
      <c r="W15" s="27"/>
      <c r="X15" s="48" t="str">
        <f aca="false">IF(OR($U15="",$C15=""),"",$U15+IF($V15="",TermsDays,$V15))</f>
        <v/>
      </c>
      <c r="Y15" s="27"/>
      <c r="Z15" s="49" t="str">
        <f aca="false">IF($L15="Invoiced",COUNTIF($L$6:$L15,"Invoiced"),"")</f>
        <v/>
      </c>
    </row>
    <row r="16" customFormat="false" ht="15" hidden="false" customHeight="false" outlineLevel="0" collapsed="false">
      <c r="A16" s="45" t="str">
        <f aca="false">IF($C16="","",POStart+COUNTA($C$6:$C16)-1)</f>
        <v/>
      </c>
      <c r="B16" s="45" t="str">
        <f aca="false">IF($A16="","",POPrefix&amp;$A16)</f>
        <v/>
      </c>
      <c r="C16" s="50"/>
      <c r="D16" s="27"/>
      <c r="E16" s="27"/>
      <c r="F16" s="27"/>
      <c r="G16" s="27"/>
      <c r="H16" s="27"/>
      <c r="I16" s="27"/>
      <c r="J16" s="27"/>
      <c r="K16" s="50"/>
      <c r="L16" s="27"/>
      <c r="M16" s="28"/>
      <c r="N16" s="28"/>
      <c r="O16" s="28"/>
      <c r="P16" s="26" t="str">
        <f aca="false">IF($C16="","",IF(OR($L16="Closed",$L16="Cancelled"),0,MAX(0,$M16-$O16)))</f>
        <v/>
      </c>
      <c r="Q16" s="45" t="str">
        <f aca="true">IF(OR($C16="",$L16="Closed",$L16="Cancelled",$L16="Invoiced"),"",MAX(0,TODAY()-$C16))</f>
        <v/>
      </c>
      <c r="R16" s="50"/>
      <c r="S16" s="47" t="str">
        <f aca="true">IF($C16="","",IF(AND($O16&gt;0,$O16&gt;$M16),"Invoice over PO - check",IF(AND($J16="Pending approval",TODAY()-$C16&gt;AlertDays),"Approval waiting",IF(AND($R16&lt;&gt;"",$R16&lt;TODAY(),OR($L16="Open",$L16="Partially received")),"Delivery overdue",""))))</f>
        <v/>
      </c>
      <c r="T16" s="27"/>
      <c r="U16" s="50"/>
      <c r="V16" s="27"/>
      <c r="W16" s="27"/>
      <c r="X16" s="48" t="str">
        <f aca="false">IF(OR($U16="",$C16=""),"",$U16+IF($V16="",TermsDays,$V16))</f>
        <v/>
      </c>
      <c r="Y16" s="27"/>
      <c r="Z16" s="49" t="str">
        <f aca="false">IF($L16="Invoiced",COUNTIF($L$6:$L16,"Invoiced"),"")</f>
        <v/>
      </c>
    </row>
    <row r="17" customFormat="false" ht="15" hidden="false" customHeight="false" outlineLevel="0" collapsed="false">
      <c r="A17" s="45" t="str">
        <f aca="false">IF($C17="","",POStart+COUNTA($C$6:$C17)-1)</f>
        <v/>
      </c>
      <c r="B17" s="45" t="str">
        <f aca="false">IF($A17="","",POPrefix&amp;$A17)</f>
        <v/>
      </c>
      <c r="C17" s="50"/>
      <c r="D17" s="27"/>
      <c r="E17" s="27"/>
      <c r="F17" s="27"/>
      <c r="G17" s="27"/>
      <c r="H17" s="27"/>
      <c r="I17" s="27"/>
      <c r="J17" s="27"/>
      <c r="K17" s="50"/>
      <c r="L17" s="27"/>
      <c r="M17" s="28"/>
      <c r="N17" s="28"/>
      <c r="O17" s="28"/>
      <c r="P17" s="26" t="str">
        <f aca="false">IF($C17="","",IF(OR($L17="Closed",$L17="Cancelled"),0,MAX(0,$M17-$O17)))</f>
        <v/>
      </c>
      <c r="Q17" s="45" t="str">
        <f aca="true">IF(OR($C17="",$L17="Closed",$L17="Cancelled",$L17="Invoiced"),"",MAX(0,TODAY()-$C17))</f>
        <v/>
      </c>
      <c r="R17" s="50"/>
      <c r="S17" s="47" t="str">
        <f aca="true">IF($C17="","",IF(AND($O17&gt;0,$O17&gt;$M17),"Invoice over PO - check",IF(AND($J17="Pending approval",TODAY()-$C17&gt;AlertDays),"Approval waiting",IF(AND($R17&lt;&gt;"",$R17&lt;TODAY(),OR($L17="Open",$L17="Partially received")),"Delivery overdue",""))))</f>
        <v/>
      </c>
      <c r="T17" s="27"/>
      <c r="U17" s="50"/>
      <c r="V17" s="27"/>
      <c r="W17" s="27"/>
      <c r="X17" s="48" t="str">
        <f aca="false">IF(OR($U17="",$C17=""),"",$U17+IF($V17="",TermsDays,$V17))</f>
        <v/>
      </c>
      <c r="Y17" s="27"/>
      <c r="Z17" s="49" t="str">
        <f aca="false">IF($L17="Invoiced",COUNTIF($L$6:$L17,"Invoiced"),"")</f>
        <v/>
      </c>
    </row>
    <row r="18" customFormat="false" ht="15" hidden="false" customHeight="false" outlineLevel="0" collapsed="false">
      <c r="A18" s="45" t="str">
        <f aca="false">IF($C18="","",POStart+COUNTA($C$6:$C18)-1)</f>
        <v/>
      </c>
      <c r="B18" s="45" t="str">
        <f aca="false">IF($A18="","",POPrefix&amp;$A18)</f>
        <v/>
      </c>
      <c r="C18" s="50"/>
      <c r="D18" s="27"/>
      <c r="E18" s="27"/>
      <c r="F18" s="27"/>
      <c r="G18" s="27"/>
      <c r="H18" s="27"/>
      <c r="I18" s="27"/>
      <c r="J18" s="27"/>
      <c r="K18" s="50"/>
      <c r="L18" s="27"/>
      <c r="M18" s="28"/>
      <c r="N18" s="28"/>
      <c r="O18" s="28"/>
      <c r="P18" s="26" t="str">
        <f aca="false">IF($C18="","",IF(OR($L18="Closed",$L18="Cancelled"),0,MAX(0,$M18-$O18)))</f>
        <v/>
      </c>
      <c r="Q18" s="45" t="str">
        <f aca="true">IF(OR($C18="",$L18="Closed",$L18="Cancelled",$L18="Invoiced"),"",MAX(0,TODAY()-$C18))</f>
        <v/>
      </c>
      <c r="R18" s="50"/>
      <c r="S18" s="47" t="str">
        <f aca="true">IF($C18="","",IF(AND($O18&gt;0,$O18&gt;$M18),"Invoice over PO - check",IF(AND($J18="Pending approval",TODAY()-$C18&gt;AlertDays),"Approval waiting",IF(AND($R18&lt;&gt;"",$R18&lt;TODAY(),OR($L18="Open",$L18="Partially received")),"Delivery overdue",""))))</f>
        <v/>
      </c>
      <c r="T18" s="27"/>
      <c r="U18" s="50"/>
      <c r="V18" s="27"/>
      <c r="W18" s="27"/>
      <c r="X18" s="48" t="str">
        <f aca="false">IF(OR($U18="",$C18=""),"",$U18+IF($V18="",TermsDays,$V18))</f>
        <v/>
      </c>
      <c r="Y18" s="27"/>
      <c r="Z18" s="49" t="str">
        <f aca="false">IF($L18="Invoiced",COUNTIF($L$6:$L18,"Invoiced"),"")</f>
        <v/>
      </c>
    </row>
    <row r="19" customFormat="false" ht="15" hidden="false" customHeight="false" outlineLevel="0" collapsed="false">
      <c r="A19" s="45" t="str">
        <f aca="false">IF($C19="","",POStart+COUNTA($C$6:$C19)-1)</f>
        <v/>
      </c>
      <c r="B19" s="45" t="str">
        <f aca="false">IF($A19="","",POPrefix&amp;$A19)</f>
        <v/>
      </c>
      <c r="C19" s="50"/>
      <c r="D19" s="27"/>
      <c r="E19" s="27"/>
      <c r="F19" s="27"/>
      <c r="G19" s="27"/>
      <c r="H19" s="27"/>
      <c r="I19" s="27"/>
      <c r="J19" s="27"/>
      <c r="K19" s="50"/>
      <c r="L19" s="27"/>
      <c r="M19" s="28"/>
      <c r="N19" s="28"/>
      <c r="O19" s="28"/>
      <c r="P19" s="26" t="str">
        <f aca="false">IF($C19="","",IF(OR($L19="Closed",$L19="Cancelled"),0,MAX(0,$M19-$O19)))</f>
        <v/>
      </c>
      <c r="Q19" s="45" t="str">
        <f aca="true">IF(OR($C19="",$L19="Closed",$L19="Cancelled",$L19="Invoiced"),"",MAX(0,TODAY()-$C19))</f>
        <v/>
      </c>
      <c r="R19" s="50"/>
      <c r="S19" s="47" t="str">
        <f aca="true">IF($C19="","",IF(AND($O19&gt;0,$O19&gt;$M19),"Invoice over PO - check",IF(AND($J19="Pending approval",TODAY()-$C19&gt;AlertDays),"Approval waiting",IF(AND($R19&lt;&gt;"",$R19&lt;TODAY(),OR($L19="Open",$L19="Partially received")),"Delivery overdue",""))))</f>
        <v/>
      </c>
      <c r="T19" s="27"/>
      <c r="U19" s="50"/>
      <c r="V19" s="27"/>
      <c r="W19" s="27"/>
      <c r="X19" s="48" t="str">
        <f aca="false">IF(OR($U19="",$C19=""),"",$U19+IF($V19="",TermsDays,$V19))</f>
        <v/>
      </c>
      <c r="Y19" s="27"/>
      <c r="Z19" s="49" t="str">
        <f aca="false">IF($L19="Invoiced",COUNTIF($L$6:$L19,"Invoiced"),"")</f>
        <v/>
      </c>
    </row>
    <row r="20" customFormat="false" ht="15" hidden="false" customHeight="false" outlineLevel="0" collapsed="false">
      <c r="A20" s="45" t="str">
        <f aca="false">IF($C20="","",POStart+COUNTA($C$6:$C20)-1)</f>
        <v/>
      </c>
      <c r="B20" s="45" t="str">
        <f aca="false">IF($A20="","",POPrefix&amp;$A20)</f>
        <v/>
      </c>
      <c r="C20" s="50"/>
      <c r="D20" s="27"/>
      <c r="E20" s="27"/>
      <c r="F20" s="27"/>
      <c r="G20" s="27"/>
      <c r="H20" s="27"/>
      <c r="I20" s="27"/>
      <c r="J20" s="27"/>
      <c r="K20" s="50"/>
      <c r="L20" s="27"/>
      <c r="M20" s="28"/>
      <c r="N20" s="28"/>
      <c r="O20" s="28"/>
      <c r="P20" s="26" t="str">
        <f aca="false">IF($C20="","",IF(OR($L20="Closed",$L20="Cancelled"),0,MAX(0,$M20-$O20)))</f>
        <v/>
      </c>
      <c r="Q20" s="45" t="str">
        <f aca="true">IF(OR($C20="",$L20="Closed",$L20="Cancelled",$L20="Invoiced"),"",MAX(0,TODAY()-$C20))</f>
        <v/>
      </c>
      <c r="R20" s="50"/>
      <c r="S20" s="47" t="str">
        <f aca="true">IF($C20="","",IF(AND($O20&gt;0,$O20&gt;$M20),"Invoice over PO - check",IF(AND($J20="Pending approval",TODAY()-$C20&gt;AlertDays),"Approval waiting",IF(AND($R20&lt;&gt;"",$R20&lt;TODAY(),OR($L20="Open",$L20="Partially received")),"Delivery overdue",""))))</f>
        <v/>
      </c>
      <c r="T20" s="27"/>
      <c r="U20" s="50"/>
      <c r="V20" s="27"/>
      <c r="W20" s="27"/>
      <c r="X20" s="48" t="str">
        <f aca="false">IF(OR($U20="",$C20=""),"",$U20+IF($V20="",TermsDays,$V20))</f>
        <v/>
      </c>
      <c r="Y20" s="27"/>
      <c r="Z20" s="49" t="str">
        <f aca="false">IF($L20="Invoiced",COUNTIF($L$6:$L20,"Invoiced"),"")</f>
        <v/>
      </c>
    </row>
    <row r="21" customFormat="false" ht="15" hidden="false" customHeight="false" outlineLevel="0" collapsed="false">
      <c r="A21" s="45" t="str">
        <f aca="false">IF($C21="","",POStart+COUNTA($C$6:$C21)-1)</f>
        <v/>
      </c>
      <c r="B21" s="45" t="str">
        <f aca="false">IF($A21="","",POPrefix&amp;$A21)</f>
        <v/>
      </c>
      <c r="C21" s="50"/>
      <c r="D21" s="27"/>
      <c r="E21" s="27"/>
      <c r="F21" s="27"/>
      <c r="G21" s="27"/>
      <c r="H21" s="27"/>
      <c r="I21" s="27"/>
      <c r="J21" s="27"/>
      <c r="K21" s="50"/>
      <c r="L21" s="27"/>
      <c r="M21" s="28"/>
      <c r="N21" s="28"/>
      <c r="O21" s="28"/>
      <c r="P21" s="26" t="str">
        <f aca="false">IF($C21="","",IF(OR($L21="Closed",$L21="Cancelled"),0,MAX(0,$M21-$O21)))</f>
        <v/>
      </c>
      <c r="Q21" s="45" t="str">
        <f aca="true">IF(OR($C21="",$L21="Closed",$L21="Cancelled",$L21="Invoiced"),"",MAX(0,TODAY()-$C21))</f>
        <v/>
      </c>
      <c r="R21" s="50"/>
      <c r="S21" s="47" t="str">
        <f aca="true">IF($C21="","",IF(AND($O21&gt;0,$O21&gt;$M21),"Invoice over PO - check",IF(AND($J21="Pending approval",TODAY()-$C21&gt;AlertDays),"Approval waiting",IF(AND($R21&lt;&gt;"",$R21&lt;TODAY(),OR($L21="Open",$L21="Partially received")),"Delivery overdue",""))))</f>
        <v/>
      </c>
      <c r="T21" s="27"/>
      <c r="U21" s="50"/>
      <c r="V21" s="27"/>
      <c r="W21" s="27"/>
      <c r="X21" s="48" t="str">
        <f aca="false">IF(OR($U21="",$C21=""),"",$U21+IF($V21="",TermsDays,$V21))</f>
        <v/>
      </c>
      <c r="Y21" s="27"/>
      <c r="Z21" s="49" t="str">
        <f aca="false">IF($L21="Invoiced",COUNTIF($L$6:$L21,"Invoiced"),"")</f>
        <v/>
      </c>
    </row>
    <row r="22" customFormat="false" ht="15" hidden="false" customHeight="false" outlineLevel="0" collapsed="false">
      <c r="A22" s="45" t="str">
        <f aca="false">IF($C22="","",POStart+COUNTA($C$6:$C22)-1)</f>
        <v/>
      </c>
      <c r="B22" s="45" t="str">
        <f aca="false">IF($A22="","",POPrefix&amp;$A22)</f>
        <v/>
      </c>
      <c r="C22" s="50"/>
      <c r="D22" s="27"/>
      <c r="E22" s="27"/>
      <c r="F22" s="27"/>
      <c r="G22" s="27"/>
      <c r="H22" s="27"/>
      <c r="I22" s="27"/>
      <c r="J22" s="27"/>
      <c r="K22" s="50"/>
      <c r="L22" s="27"/>
      <c r="M22" s="28"/>
      <c r="N22" s="28"/>
      <c r="O22" s="28"/>
      <c r="P22" s="26" t="str">
        <f aca="false">IF($C22="","",IF(OR($L22="Closed",$L22="Cancelled"),0,MAX(0,$M22-$O22)))</f>
        <v/>
      </c>
      <c r="Q22" s="45" t="str">
        <f aca="true">IF(OR($C22="",$L22="Closed",$L22="Cancelled",$L22="Invoiced"),"",MAX(0,TODAY()-$C22))</f>
        <v/>
      </c>
      <c r="R22" s="50"/>
      <c r="S22" s="47" t="str">
        <f aca="true">IF($C22="","",IF(AND($O22&gt;0,$O22&gt;$M22),"Invoice over PO - check",IF(AND($J22="Pending approval",TODAY()-$C22&gt;AlertDays),"Approval waiting",IF(AND($R22&lt;&gt;"",$R22&lt;TODAY(),OR($L22="Open",$L22="Partially received")),"Delivery overdue",""))))</f>
        <v/>
      </c>
      <c r="T22" s="27"/>
      <c r="U22" s="50"/>
      <c r="V22" s="27"/>
      <c r="W22" s="27"/>
      <c r="X22" s="48" t="str">
        <f aca="false">IF(OR($U22="",$C22=""),"",$U22+IF($V22="",TermsDays,$V22))</f>
        <v/>
      </c>
      <c r="Y22" s="27"/>
      <c r="Z22" s="49" t="str">
        <f aca="false">IF($L22="Invoiced",COUNTIF($L$6:$L22,"Invoiced"),"")</f>
        <v/>
      </c>
    </row>
    <row r="23" customFormat="false" ht="15" hidden="false" customHeight="false" outlineLevel="0" collapsed="false">
      <c r="A23" s="45" t="str">
        <f aca="false">IF($C23="","",POStart+COUNTA($C$6:$C23)-1)</f>
        <v/>
      </c>
      <c r="B23" s="45" t="str">
        <f aca="false">IF($A23="","",POPrefix&amp;$A23)</f>
        <v/>
      </c>
      <c r="C23" s="50"/>
      <c r="D23" s="27"/>
      <c r="E23" s="27"/>
      <c r="F23" s="27"/>
      <c r="G23" s="27"/>
      <c r="H23" s="27"/>
      <c r="I23" s="27"/>
      <c r="J23" s="27"/>
      <c r="K23" s="50"/>
      <c r="L23" s="27"/>
      <c r="M23" s="28"/>
      <c r="N23" s="28"/>
      <c r="O23" s="28"/>
      <c r="P23" s="26" t="str">
        <f aca="false">IF($C23="","",IF(OR($L23="Closed",$L23="Cancelled"),0,MAX(0,$M23-$O23)))</f>
        <v/>
      </c>
      <c r="Q23" s="45" t="str">
        <f aca="true">IF(OR($C23="",$L23="Closed",$L23="Cancelled",$L23="Invoiced"),"",MAX(0,TODAY()-$C23))</f>
        <v/>
      </c>
      <c r="R23" s="50"/>
      <c r="S23" s="47" t="str">
        <f aca="true">IF($C23="","",IF(AND($O23&gt;0,$O23&gt;$M23),"Invoice over PO - check",IF(AND($J23="Pending approval",TODAY()-$C23&gt;AlertDays),"Approval waiting",IF(AND($R23&lt;&gt;"",$R23&lt;TODAY(),OR($L23="Open",$L23="Partially received")),"Delivery overdue",""))))</f>
        <v/>
      </c>
      <c r="T23" s="27"/>
      <c r="U23" s="50"/>
      <c r="V23" s="27"/>
      <c r="W23" s="27"/>
      <c r="X23" s="48" t="str">
        <f aca="false">IF(OR($U23="",$C23=""),"",$U23+IF($V23="",TermsDays,$V23))</f>
        <v/>
      </c>
      <c r="Y23" s="27"/>
      <c r="Z23" s="49" t="str">
        <f aca="false">IF($L23="Invoiced",COUNTIF($L$6:$L23,"Invoiced"),"")</f>
        <v/>
      </c>
    </row>
    <row r="24" customFormat="false" ht="15" hidden="false" customHeight="false" outlineLevel="0" collapsed="false">
      <c r="A24" s="45" t="str">
        <f aca="false">IF($C24="","",POStart+COUNTA($C$6:$C24)-1)</f>
        <v/>
      </c>
      <c r="B24" s="45" t="str">
        <f aca="false">IF($A24="","",POPrefix&amp;$A24)</f>
        <v/>
      </c>
      <c r="C24" s="50"/>
      <c r="D24" s="27"/>
      <c r="E24" s="27"/>
      <c r="F24" s="27"/>
      <c r="G24" s="27"/>
      <c r="H24" s="27"/>
      <c r="I24" s="27"/>
      <c r="J24" s="27"/>
      <c r="K24" s="50"/>
      <c r="L24" s="27"/>
      <c r="M24" s="28"/>
      <c r="N24" s="28"/>
      <c r="O24" s="28"/>
      <c r="P24" s="26" t="str">
        <f aca="false">IF($C24="","",IF(OR($L24="Closed",$L24="Cancelled"),0,MAX(0,$M24-$O24)))</f>
        <v/>
      </c>
      <c r="Q24" s="45" t="str">
        <f aca="true">IF(OR($C24="",$L24="Closed",$L24="Cancelled",$L24="Invoiced"),"",MAX(0,TODAY()-$C24))</f>
        <v/>
      </c>
      <c r="R24" s="50"/>
      <c r="S24" s="47" t="str">
        <f aca="true">IF($C24="","",IF(AND($O24&gt;0,$O24&gt;$M24),"Invoice over PO - check",IF(AND($J24="Pending approval",TODAY()-$C24&gt;AlertDays),"Approval waiting",IF(AND($R24&lt;&gt;"",$R24&lt;TODAY(),OR($L24="Open",$L24="Partially received")),"Delivery overdue",""))))</f>
        <v/>
      </c>
      <c r="T24" s="27"/>
      <c r="U24" s="50"/>
      <c r="V24" s="27"/>
      <c r="W24" s="27"/>
      <c r="X24" s="48" t="str">
        <f aca="false">IF(OR($U24="",$C24=""),"",$U24+IF($V24="",TermsDays,$V24))</f>
        <v/>
      </c>
      <c r="Y24" s="27"/>
      <c r="Z24" s="49" t="str">
        <f aca="false">IF($L24="Invoiced",COUNTIF($L$6:$L24,"Invoiced"),"")</f>
        <v/>
      </c>
    </row>
    <row r="25" customFormat="false" ht="15" hidden="false" customHeight="false" outlineLevel="0" collapsed="false">
      <c r="A25" s="45" t="str">
        <f aca="false">IF($C25="","",POStart+COUNTA($C$6:$C25)-1)</f>
        <v/>
      </c>
      <c r="B25" s="45" t="str">
        <f aca="false">IF($A25="","",POPrefix&amp;$A25)</f>
        <v/>
      </c>
      <c r="C25" s="50"/>
      <c r="D25" s="27"/>
      <c r="E25" s="27"/>
      <c r="F25" s="27"/>
      <c r="G25" s="27"/>
      <c r="H25" s="27"/>
      <c r="I25" s="27"/>
      <c r="J25" s="27"/>
      <c r="K25" s="50"/>
      <c r="L25" s="27"/>
      <c r="M25" s="28"/>
      <c r="N25" s="28"/>
      <c r="O25" s="28"/>
      <c r="P25" s="26" t="str">
        <f aca="false">IF($C25="","",IF(OR($L25="Closed",$L25="Cancelled"),0,MAX(0,$M25-$O25)))</f>
        <v/>
      </c>
      <c r="Q25" s="45" t="str">
        <f aca="true">IF(OR($C25="",$L25="Closed",$L25="Cancelled",$L25="Invoiced"),"",MAX(0,TODAY()-$C25))</f>
        <v/>
      </c>
      <c r="R25" s="50"/>
      <c r="S25" s="47" t="str">
        <f aca="true">IF($C25="","",IF(AND($O25&gt;0,$O25&gt;$M25),"Invoice over PO - check",IF(AND($J25="Pending approval",TODAY()-$C25&gt;AlertDays),"Approval waiting",IF(AND($R25&lt;&gt;"",$R25&lt;TODAY(),OR($L25="Open",$L25="Partially received")),"Delivery overdue",""))))</f>
        <v/>
      </c>
      <c r="T25" s="27"/>
      <c r="U25" s="50"/>
      <c r="V25" s="27"/>
      <c r="W25" s="27"/>
      <c r="X25" s="48" t="str">
        <f aca="false">IF(OR($U25="",$C25=""),"",$U25+IF($V25="",TermsDays,$V25))</f>
        <v/>
      </c>
      <c r="Y25" s="27"/>
      <c r="Z25" s="49" t="str">
        <f aca="false">IF($L25="Invoiced",COUNTIF($L$6:$L25,"Invoiced"),"")</f>
        <v/>
      </c>
    </row>
    <row r="26" customFormat="false" ht="15" hidden="false" customHeight="false" outlineLevel="0" collapsed="false">
      <c r="A26" s="45" t="str">
        <f aca="false">IF($C26="","",POStart+COUNTA($C$6:$C26)-1)</f>
        <v/>
      </c>
      <c r="B26" s="45" t="str">
        <f aca="false">IF($A26="","",POPrefix&amp;$A26)</f>
        <v/>
      </c>
      <c r="C26" s="50"/>
      <c r="D26" s="27"/>
      <c r="E26" s="27"/>
      <c r="F26" s="27"/>
      <c r="G26" s="27"/>
      <c r="H26" s="27"/>
      <c r="I26" s="27"/>
      <c r="J26" s="27"/>
      <c r="K26" s="50"/>
      <c r="L26" s="27"/>
      <c r="M26" s="28"/>
      <c r="N26" s="28"/>
      <c r="O26" s="28"/>
      <c r="P26" s="26" t="str">
        <f aca="false">IF($C26="","",IF(OR($L26="Closed",$L26="Cancelled"),0,MAX(0,$M26-$O26)))</f>
        <v/>
      </c>
      <c r="Q26" s="45" t="str">
        <f aca="true">IF(OR($C26="",$L26="Closed",$L26="Cancelled",$L26="Invoiced"),"",MAX(0,TODAY()-$C26))</f>
        <v/>
      </c>
      <c r="R26" s="50"/>
      <c r="S26" s="47" t="str">
        <f aca="true">IF($C26="","",IF(AND($O26&gt;0,$O26&gt;$M26),"Invoice over PO - check",IF(AND($J26="Pending approval",TODAY()-$C26&gt;AlertDays),"Approval waiting",IF(AND($R26&lt;&gt;"",$R26&lt;TODAY(),OR($L26="Open",$L26="Partially received")),"Delivery overdue",""))))</f>
        <v/>
      </c>
      <c r="T26" s="27"/>
      <c r="U26" s="50"/>
      <c r="V26" s="27"/>
      <c r="W26" s="27"/>
      <c r="X26" s="48" t="str">
        <f aca="false">IF(OR($U26="",$C26=""),"",$U26+IF($V26="",TermsDays,$V26))</f>
        <v/>
      </c>
      <c r="Y26" s="27"/>
      <c r="Z26" s="49" t="str">
        <f aca="false">IF($L26="Invoiced",COUNTIF($L$6:$L26,"Invoiced"),"")</f>
        <v/>
      </c>
    </row>
    <row r="27" customFormat="false" ht="15" hidden="false" customHeight="false" outlineLevel="0" collapsed="false">
      <c r="A27" s="45" t="str">
        <f aca="false">IF($C27="","",POStart+COUNTA($C$6:$C27)-1)</f>
        <v/>
      </c>
      <c r="B27" s="45" t="str">
        <f aca="false">IF($A27="","",POPrefix&amp;$A27)</f>
        <v/>
      </c>
      <c r="C27" s="50"/>
      <c r="D27" s="27"/>
      <c r="E27" s="27"/>
      <c r="F27" s="27"/>
      <c r="G27" s="27"/>
      <c r="H27" s="27"/>
      <c r="I27" s="27"/>
      <c r="J27" s="27"/>
      <c r="K27" s="50"/>
      <c r="L27" s="27"/>
      <c r="M27" s="28"/>
      <c r="N27" s="28"/>
      <c r="O27" s="28"/>
      <c r="P27" s="26" t="str">
        <f aca="false">IF($C27="","",IF(OR($L27="Closed",$L27="Cancelled"),0,MAX(0,$M27-$O27)))</f>
        <v/>
      </c>
      <c r="Q27" s="45" t="str">
        <f aca="true">IF(OR($C27="",$L27="Closed",$L27="Cancelled",$L27="Invoiced"),"",MAX(0,TODAY()-$C27))</f>
        <v/>
      </c>
      <c r="R27" s="50"/>
      <c r="S27" s="47" t="str">
        <f aca="true">IF($C27="","",IF(AND($O27&gt;0,$O27&gt;$M27),"Invoice over PO - check",IF(AND($J27="Pending approval",TODAY()-$C27&gt;AlertDays),"Approval waiting",IF(AND($R27&lt;&gt;"",$R27&lt;TODAY(),OR($L27="Open",$L27="Partially received")),"Delivery overdue",""))))</f>
        <v/>
      </c>
      <c r="T27" s="27"/>
      <c r="U27" s="50"/>
      <c r="V27" s="27"/>
      <c r="W27" s="27"/>
      <c r="X27" s="48" t="str">
        <f aca="false">IF(OR($U27="",$C27=""),"",$U27+IF($V27="",TermsDays,$V27))</f>
        <v/>
      </c>
      <c r="Y27" s="27"/>
      <c r="Z27" s="49" t="str">
        <f aca="false">IF($L27="Invoiced",COUNTIF($L$6:$L27,"Invoiced"),"")</f>
        <v/>
      </c>
    </row>
    <row r="28" customFormat="false" ht="15" hidden="false" customHeight="false" outlineLevel="0" collapsed="false">
      <c r="A28" s="45" t="str">
        <f aca="false">IF($C28="","",POStart+COUNTA($C$6:$C28)-1)</f>
        <v/>
      </c>
      <c r="B28" s="45" t="str">
        <f aca="false">IF($A28="","",POPrefix&amp;$A28)</f>
        <v/>
      </c>
      <c r="C28" s="50"/>
      <c r="D28" s="27"/>
      <c r="E28" s="27"/>
      <c r="F28" s="27"/>
      <c r="G28" s="27"/>
      <c r="H28" s="27"/>
      <c r="I28" s="27"/>
      <c r="J28" s="27"/>
      <c r="K28" s="50"/>
      <c r="L28" s="27"/>
      <c r="M28" s="28"/>
      <c r="N28" s="28"/>
      <c r="O28" s="28"/>
      <c r="P28" s="26" t="str">
        <f aca="false">IF($C28="","",IF(OR($L28="Closed",$L28="Cancelled"),0,MAX(0,$M28-$O28)))</f>
        <v/>
      </c>
      <c r="Q28" s="45" t="str">
        <f aca="true">IF(OR($C28="",$L28="Closed",$L28="Cancelled",$L28="Invoiced"),"",MAX(0,TODAY()-$C28))</f>
        <v/>
      </c>
      <c r="R28" s="50"/>
      <c r="S28" s="47" t="str">
        <f aca="true">IF($C28="","",IF(AND($O28&gt;0,$O28&gt;$M28),"Invoice over PO - check",IF(AND($J28="Pending approval",TODAY()-$C28&gt;AlertDays),"Approval waiting",IF(AND($R28&lt;&gt;"",$R28&lt;TODAY(),OR($L28="Open",$L28="Partially received")),"Delivery overdue",""))))</f>
        <v/>
      </c>
      <c r="T28" s="27"/>
      <c r="U28" s="50"/>
      <c r="V28" s="27"/>
      <c r="W28" s="27"/>
      <c r="X28" s="48" t="str">
        <f aca="false">IF(OR($U28="",$C28=""),"",$U28+IF($V28="",TermsDays,$V28))</f>
        <v/>
      </c>
      <c r="Y28" s="27"/>
      <c r="Z28" s="49" t="str">
        <f aca="false">IF($L28="Invoiced",COUNTIF($L$6:$L28,"Invoiced"),"")</f>
        <v/>
      </c>
    </row>
    <row r="29" customFormat="false" ht="15" hidden="false" customHeight="false" outlineLevel="0" collapsed="false">
      <c r="A29" s="45" t="str">
        <f aca="false">IF($C29="","",POStart+COUNTA($C$6:$C29)-1)</f>
        <v/>
      </c>
      <c r="B29" s="45" t="str">
        <f aca="false">IF($A29="","",POPrefix&amp;$A29)</f>
        <v/>
      </c>
      <c r="C29" s="50"/>
      <c r="D29" s="27"/>
      <c r="E29" s="27"/>
      <c r="F29" s="27"/>
      <c r="G29" s="27"/>
      <c r="H29" s="27"/>
      <c r="I29" s="27"/>
      <c r="J29" s="27"/>
      <c r="K29" s="50"/>
      <c r="L29" s="27"/>
      <c r="M29" s="28"/>
      <c r="N29" s="28"/>
      <c r="O29" s="28"/>
      <c r="P29" s="26" t="str">
        <f aca="false">IF($C29="","",IF(OR($L29="Closed",$L29="Cancelled"),0,MAX(0,$M29-$O29)))</f>
        <v/>
      </c>
      <c r="Q29" s="45" t="str">
        <f aca="true">IF(OR($C29="",$L29="Closed",$L29="Cancelled",$L29="Invoiced"),"",MAX(0,TODAY()-$C29))</f>
        <v/>
      </c>
      <c r="R29" s="50"/>
      <c r="S29" s="47" t="str">
        <f aca="true">IF($C29="","",IF(AND($O29&gt;0,$O29&gt;$M29),"Invoice over PO - check",IF(AND($J29="Pending approval",TODAY()-$C29&gt;AlertDays),"Approval waiting",IF(AND($R29&lt;&gt;"",$R29&lt;TODAY(),OR($L29="Open",$L29="Partially received")),"Delivery overdue",""))))</f>
        <v/>
      </c>
      <c r="T29" s="27"/>
      <c r="U29" s="50"/>
      <c r="V29" s="27"/>
      <c r="W29" s="27"/>
      <c r="X29" s="48" t="str">
        <f aca="false">IF(OR($U29="",$C29=""),"",$U29+IF($V29="",TermsDays,$V29))</f>
        <v/>
      </c>
      <c r="Y29" s="27"/>
      <c r="Z29" s="49" t="str">
        <f aca="false">IF($L29="Invoiced",COUNTIF($L$6:$L29,"Invoiced"),"")</f>
        <v/>
      </c>
    </row>
    <row r="30" customFormat="false" ht="15" hidden="false" customHeight="false" outlineLevel="0" collapsed="false">
      <c r="A30" s="45" t="str">
        <f aca="false">IF($C30="","",POStart+COUNTA($C$6:$C30)-1)</f>
        <v/>
      </c>
      <c r="B30" s="45" t="str">
        <f aca="false">IF($A30="","",POPrefix&amp;$A30)</f>
        <v/>
      </c>
      <c r="C30" s="50"/>
      <c r="D30" s="27"/>
      <c r="E30" s="27"/>
      <c r="F30" s="27"/>
      <c r="G30" s="27"/>
      <c r="H30" s="27"/>
      <c r="I30" s="27"/>
      <c r="J30" s="27"/>
      <c r="K30" s="50"/>
      <c r="L30" s="27"/>
      <c r="M30" s="28"/>
      <c r="N30" s="28"/>
      <c r="O30" s="28"/>
      <c r="P30" s="26" t="str">
        <f aca="false">IF($C30="","",IF(OR($L30="Closed",$L30="Cancelled"),0,MAX(0,$M30-$O30)))</f>
        <v/>
      </c>
      <c r="Q30" s="45" t="str">
        <f aca="true">IF(OR($C30="",$L30="Closed",$L30="Cancelled",$L30="Invoiced"),"",MAX(0,TODAY()-$C30))</f>
        <v/>
      </c>
      <c r="R30" s="50"/>
      <c r="S30" s="47" t="str">
        <f aca="true">IF($C30="","",IF(AND($O30&gt;0,$O30&gt;$M30),"Invoice over PO - check",IF(AND($J30="Pending approval",TODAY()-$C30&gt;AlertDays),"Approval waiting",IF(AND($R30&lt;&gt;"",$R30&lt;TODAY(),OR($L30="Open",$L30="Partially received")),"Delivery overdue",""))))</f>
        <v/>
      </c>
      <c r="T30" s="27"/>
      <c r="U30" s="50"/>
      <c r="V30" s="27"/>
      <c r="W30" s="27"/>
      <c r="X30" s="48" t="str">
        <f aca="false">IF(OR($U30="",$C30=""),"",$U30+IF($V30="",TermsDays,$V30))</f>
        <v/>
      </c>
      <c r="Y30" s="27"/>
      <c r="Z30" s="49" t="str">
        <f aca="false">IF($L30="Invoiced",COUNTIF($L$6:$L30,"Invoiced"),"")</f>
        <v/>
      </c>
    </row>
    <row r="31" customFormat="false" ht="15" hidden="false" customHeight="false" outlineLevel="0" collapsed="false">
      <c r="A31" s="45" t="str">
        <f aca="false">IF($C31="","",POStart+COUNTA($C$6:$C31)-1)</f>
        <v/>
      </c>
      <c r="B31" s="45" t="str">
        <f aca="false">IF($A31="","",POPrefix&amp;$A31)</f>
        <v/>
      </c>
      <c r="C31" s="50"/>
      <c r="D31" s="27"/>
      <c r="E31" s="27"/>
      <c r="F31" s="27"/>
      <c r="G31" s="27"/>
      <c r="H31" s="27"/>
      <c r="I31" s="27"/>
      <c r="J31" s="27"/>
      <c r="K31" s="50"/>
      <c r="L31" s="27"/>
      <c r="M31" s="28"/>
      <c r="N31" s="28"/>
      <c r="O31" s="28"/>
      <c r="P31" s="26" t="str">
        <f aca="false">IF($C31="","",IF(OR($L31="Closed",$L31="Cancelled"),0,MAX(0,$M31-$O31)))</f>
        <v/>
      </c>
      <c r="Q31" s="45" t="str">
        <f aca="true">IF(OR($C31="",$L31="Closed",$L31="Cancelled",$L31="Invoiced"),"",MAX(0,TODAY()-$C31))</f>
        <v/>
      </c>
      <c r="R31" s="50"/>
      <c r="S31" s="47" t="str">
        <f aca="true">IF($C31="","",IF(AND($O31&gt;0,$O31&gt;$M31),"Invoice over PO - check",IF(AND($J31="Pending approval",TODAY()-$C31&gt;AlertDays),"Approval waiting",IF(AND($R31&lt;&gt;"",$R31&lt;TODAY(),OR($L31="Open",$L31="Partially received")),"Delivery overdue",""))))</f>
        <v/>
      </c>
      <c r="T31" s="27"/>
      <c r="U31" s="50"/>
      <c r="V31" s="27"/>
      <c r="W31" s="27"/>
      <c r="X31" s="48" t="str">
        <f aca="false">IF(OR($U31="",$C31=""),"",$U31+IF($V31="",TermsDays,$V31))</f>
        <v/>
      </c>
      <c r="Y31" s="27"/>
      <c r="Z31" s="49" t="str">
        <f aca="false">IF($L31="Invoiced",COUNTIF($L$6:$L31,"Invoiced"),"")</f>
        <v/>
      </c>
    </row>
    <row r="32" customFormat="false" ht="15" hidden="false" customHeight="false" outlineLevel="0" collapsed="false">
      <c r="A32" s="45" t="str">
        <f aca="false">IF($C32="","",POStart+COUNTA($C$6:$C32)-1)</f>
        <v/>
      </c>
      <c r="B32" s="45" t="str">
        <f aca="false">IF($A32="","",POPrefix&amp;$A32)</f>
        <v/>
      </c>
      <c r="C32" s="50"/>
      <c r="D32" s="27"/>
      <c r="E32" s="27"/>
      <c r="F32" s="27"/>
      <c r="G32" s="27"/>
      <c r="H32" s="27"/>
      <c r="I32" s="27"/>
      <c r="J32" s="27"/>
      <c r="K32" s="50"/>
      <c r="L32" s="27"/>
      <c r="M32" s="28"/>
      <c r="N32" s="28"/>
      <c r="O32" s="28"/>
      <c r="P32" s="26" t="str">
        <f aca="false">IF($C32="","",IF(OR($L32="Closed",$L32="Cancelled"),0,MAX(0,$M32-$O32)))</f>
        <v/>
      </c>
      <c r="Q32" s="45" t="str">
        <f aca="true">IF(OR($C32="",$L32="Closed",$L32="Cancelled",$L32="Invoiced"),"",MAX(0,TODAY()-$C32))</f>
        <v/>
      </c>
      <c r="R32" s="50"/>
      <c r="S32" s="47" t="str">
        <f aca="true">IF($C32="","",IF(AND($O32&gt;0,$O32&gt;$M32),"Invoice over PO - check",IF(AND($J32="Pending approval",TODAY()-$C32&gt;AlertDays),"Approval waiting",IF(AND($R32&lt;&gt;"",$R32&lt;TODAY(),OR($L32="Open",$L32="Partially received")),"Delivery overdue",""))))</f>
        <v/>
      </c>
      <c r="T32" s="27"/>
      <c r="U32" s="50"/>
      <c r="V32" s="27"/>
      <c r="W32" s="27"/>
      <c r="X32" s="48" t="str">
        <f aca="false">IF(OR($U32="",$C32=""),"",$U32+IF($V32="",TermsDays,$V32))</f>
        <v/>
      </c>
      <c r="Y32" s="27"/>
      <c r="Z32" s="49" t="str">
        <f aca="false">IF($L32="Invoiced",COUNTIF($L$6:$L32,"Invoiced"),"")</f>
        <v/>
      </c>
    </row>
    <row r="33" customFormat="false" ht="15" hidden="false" customHeight="false" outlineLevel="0" collapsed="false">
      <c r="A33" s="45" t="str">
        <f aca="false">IF($C33="","",POStart+COUNTA($C$6:$C33)-1)</f>
        <v/>
      </c>
      <c r="B33" s="45" t="str">
        <f aca="false">IF($A33="","",POPrefix&amp;$A33)</f>
        <v/>
      </c>
      <c r="C33" s="50"/>
      <c r="D33" s="27"/>
      <c r="E33" s="27"/>
      <c r="F33" s="27"/>
      <c r="G33" s="27"/>
      <c r="H33" s="27"/>
      <c r="I33" s="27"/>
      <c r="J33" s="27"/>
      <c r="K33" s="50"/>
      <c r="L33" s="27"/>
      <c r="M33" s="28"/>
      <c r="N33" s="28"/>
      <c r="O33" s="28"/>
      <c r="P33" s="26" t="str">
        <f aca="false">IF($C33="","",IF(OR($L33="Closed",$L33="Cancelled"),0,MAX(0,$M33-$O33)))</f>
        <v/>
      </c>
      <c r="Q33" s="45" t="str">
        <f aca="true">IF(OR($C33="",$L33="Closed",$L33="Cancelled",$L33="Invoiced"),"",MAX(0,TODAY()-$C33))</f>
        <v/>
      </c>
      <c r="R33" s="50"/>
      <c r="S33" s="47" t="str">
        <f aca="true">IF($C33="","",IF(AND($O33&gt;0,$O33&gt;$M33),"Invoice over PO - check",IF(AND($J33="Pending approval",TODAY()-$C33&gt;AlertDays),"Approval waiting",IF(AND($R33&lt;&gt;"",$R33&lt;TODAY(),OR($L33="Open",$L33="Partially received")),"Delivery overdue",""))))</f>
        <v/>
      </c>
      <c r="T33" s="27"/>
      <c r="U33" s="50"/>
      <c r="V33" s="27"/>
      <c r="W33" s="27"/>
      <c r="X33" s="48" t="str">
        <f aca="false">IF(OR($U33="",$C33=""),"",$U33+IF($V33="",TermsDays,$V33))</f>
        <v/>
      </c>
      <c r="Y33" s="27"/>
      <c r="Z33" s="49" t="str">
        <f aca="false">IF($L33="Invoiced",COUNTIF($L$6:$L33,"Invoiced"),"")</f>
        <v/>
      </c>
    </row>
    <row r="34" customFormat="false" ht="15" hidden="false" customHeight="false" outlineLevel="0" collapsed="false">
      <c r="A34" s="45" t="str">
        <f aca="false">IF($C34="","",POStart+COUNTA($C$6:$C34)-1)</f>
        <v/>
      </c>
      <c r="B34" s="45" t="str">
        <f aca="false">IF($A34="","",POPrefix&amp;$A34)</f>
        <v/>
      </c>
      <c r="C34" s="50"/>
      <c r="D34" s="27"/>
      <c r="E34" s="27"/>
      <c r="F34" s="27"/>
      <c r="G34" s="27"/>
      <c r="H34" s="27"/>
      <c r="I34" s="27"/>
      <c r="J34" s="27"/>
      <c r="K34" s="50"/>
      <c r="L34" s="27"/>
      <c r="M34" s="28"/>
      <c r="N34" s="28"/>
      <c r="O34" s="28"/>
      <c r="P34" s="26" t="str">
        <f aca="false">IF($C34="","",IF(OR($L34="Closed",$L34="Cancelled"),0,MAX(0,$M34-$O34)))</f>
        <v/>
      </c>
      <c r="Q34" s="45" t="str">
        <f aca="true">IF(OR($C34="",$L34="Closed",$L34="Cancelled",$L34="Invoiced"),"",MAX(0,TODAY()-$C34))</f>
        <v/>
      </c>
      <c r="R34" s="50"/>
      <c r="S34" s="47" t="str">
        <f aca="true">IF($C34="","",IF(AND($O34&gt;0,$O34&gt;$M34),"Invoice over PO - check",IF(AND($J34="Pending approval",TODAY()-$C34&gt;AlertDays),"Approval waiting",IF(AND($R34&lt;&gt;"",$R34&lt;TODAY(),OR($L34="Open",$L34="Partially received")),"Delivery overdue",""))))</f>
        <v/>
      </c>
      <c r="T34" s="27"/>
      <c r="U34" s="50"/>
      <c r="V34" s="27"/>
      <c r="W34" s="27"/>
      <c r="X34" s="48" t="str">
        <f aca="false">IF(OR($U34="",$C34=""),"",$U34+IF($V34="",TermsDays,$V34))</f>
        <v/>
      </c>
      <c r="Y34" s="27"/>
      <c r="Z34" s="49" t="str">
        <f aca="false">IF($L34="Invoiced",COUNTIF($L$6:$L34,"Invoiced"),"")</f>
        <v/>
      </c>
    </row>
    <row r="35" customFormat="false" ht="15" hidden="false" customHeight="false" outlineLevel="0" collapsed="false">
      <c r="A35" s="45" t="str">
        <f aca="false">IF($C35="","",POStart+COUNTA($C$6:$C35)-1)</f>
        <v/>
      </c>
      <c r="B35" s="45" t="str">
        <f aca="false">IF($A35="","",POPrefix&amp;$A35)</f>
        <v/>
      </c>
      <c r="C35" s="50"/>
      <c r="D35" s="27"/>
      <c r="E35" s="27"/>
      <c r="F35" s="27"/>
      <c r="G35" s="27"/>
      <c r="H35" s="27"/>
      <c r="I35" s="27"/>
      <c r="J35" s="27"/>
      <c r="K35" s="50"/>
      <c r="L35" s="27"/>
      <c r="M35" s="28"/>
      <c r="N35" s="28"/>
      <c r="O35" s="28"/>
      <c r="P35" s="26" t="str">
        <f aca="false">IF($C35="","",IF(OR($L35="Closed",$L35="Cancelled"),0,MAX(0,$M35-$O35)))</f>
        <v/>
      </c>
      <c r="Q35" s="45" t="str">
        <f aca="true">IF(OR($C35="",$L35="Closed",$L35="Cancelled",$L35="Invoiced"),"",MAX(0,TODAY()-$C35))</f>
        <v/>
      </c>
      <c r="R35" s="50"/>
      <c r="S35" s="47" t="str">
        <f aca="true">IF($C35="","",IF(AND($O35&gt;0,$O35&gt;$M35),"Invoice over PO - check",IF(AND($J35="Pending approval",TODAY()-$C35&gt;AlertDays),"Approval waiting",IF(AND($R35&lt;&gt;"",$R35&lt;TODAY(),OR($L35="Open",$L35="Partially received")),"Delivery overdue",""))))</f>
        <v/>
      </c>
      <c r="T35" s="27"/>
      <c r="U35" s="50"/>
      <c r="V35" s="27"/>
      <c r="W35" s="27"/>
      <c r="X35" s="48" t="str">
        <f aca="false">IF(OR($U35="",$C35=""),"",$U35+IF($V35="",TermsDays,$V35))</f>
        <v/>
      </c>
      <c r="Y35" s="27"/>
      <c r="Z35" s="49" t="str">
        <f aca="false">IF($L35="Invoiced",COUNTIF($L$6:$L35,"Invoiced"),"")</f>
        <v/>
      </c>
    </row>
    <row r="36" customFormat="false" ht="15" hidden="false" customHeight="false" outlineLevel="0" collapsed="false">
      <c r="A36" s="45" t="str">
        <f aca="false">IF($C36="","",POStart+COUNTA($C$6:$C36)-1)</f>
        <v/>
      </c>
      <c r="B36" s="45" t="str">
        <f aca="false">IF($A36="","",POPrefix&amp;$A36)</f>
        <v/>
      </c>
      <c r="C36" s="50"/>
      <c r="D36" s="27"/>
      <c r="E36" s="27"/>
      <c r="F36" s="27"/>
      <c r="G36" s="27"/>
      <c r="H36" s="27"/>
      <c r="I36" s="27"/>
      <c r="J36" s="27"/>
      <c r="K36" s="50"/>
      <c r="L36" s="27"/>
      <c r="M36" s="28"/>
      <c r="N36" s="28"/>
      <c r="O36" s="28"/>
      <c r="P36" s="26" t="str">
        <f aca="false">IF($C36="","",IF(OR($L36="Closed",$L36="Cancelled"),0,MAX(0,$M36-$O36)))</f>
        <v/>
      </c>
      <c r="Q36" s="45" t="str">
        <f aca="true">IF(OR($C36="",$L36="Closed",$L36="Cancelled",$L36="Invoiced"),"",MAX(0,TODAY()-$C36))</f>
        <v/>
      </c>
      <c r="R36" s="50"/>
      <c r="S36" s="47" t="str">
        <f aca="true">IF($C36="","",IF(AND($O36&gt;0,$O36&gt;$M36),"Invoice over PO - check",IF(AND($J36="Pending approval",TODAY()-$C36&gt;AlertDays),"Approval waiting",IF(AND($R36&lt;&gt;"",$R36&lt;TODAY(),OR($L36="Open",$L36="Partially received")),"Delivery overdue",""))))</f>
        <v/>
      </c>
      <c r="T36" s="27"/>
      <c r="U36" s="50"/>
      <c r="V36" s="27"/>
      <c r="W36" s="27"/>
      <c r="X36" s="48" t="str">
        <f aca="false">IF(OR($U36="",$C36=""),"",$U36+IF($V36="",TermsDays,$V36))</f>
        <v/>
      </c>
      <c r="Y36" s="27"/>
      <c r="Z36" s="49" t="str">
        <f aca="false">IF($L36="Invoiced",COUNTIF($L$6:$L36,"Invoiced"),"")</f>
        <v/>
      </c>
    </row>
    <row r="37" customFormat="false" ht="15" hidden="false" customHeight="false" outlineLevel="0" collapsed="false">
      <c r="A37" s="45" t="str">
        <f aca="false">IF($C37="","",POStart+COUNTA($C$6:$C37)-1)</f>
        <v/>
      </c>
      <c r="B37" s="45" t="str">
        <f aca="false">IF($A37="","",POPrefix&amp;$A37)</f>
        <v/>
      </c>
      <c r="C37" s="50"/>
      <c r="D37" s="27"/>
      <c r="E37" s="27"/>
      <c r="F37" s="27"/>
      <c r="G37" s="27"/>
      <c r="H37" s="27"/>
      <c r="I37" s="27"/>
      <c r="J37" s="27"/>
      <c r="K37" s="50"/>
      <c r="L37" s="27"/>
      <c r="M37" s="28"/>
      <c r="N37" s="28"/>
      <c r="O37" s="28"/>
      <c r="P37" s="26" t="str">
        <f aca="false">IF($C37="","",IF(OR($L37="Closed",$L37="Cancelled"),0,MAX(0,$M37-$O37)))</f>
        <v/>
      </c>
      <c r="Q37" s="45" t="str">
        <f aca="true">IF(OR($C37="",$L37="Closed",$L37="Cancelled",$L37="Invoiced"),"",MAX(0,TODAY()-$C37))</f>
        <v/>
      </c>
      <c r="R37" s="50"/>
      <c r="S37" s="47" t="str">
        <f aca="true">IF($C37="","",IF(AND($O37&gt;0,$O37&gt;$M37),"Invoice over PO - check",IF(AND($J37="Pending approval",TODAY()-$C37&gt;AlertDays),"Approval waiting",IF(AND($R37&lt;&gt;"",$R37&lt;TODAY(),OR($L37="Open",$L37="Partially received")),"Delivery overdue",""))))</f>
        <v/>
      </c>
      <c r="T37" s="27"/>
      <c r="U37" s="50"/>
      <c r="V37" s="27"/>
      <c r="W37" s="27"/>
      <c r="X37" s="48" t="str">
        <f aca="false">IF(OR($U37="",$C37=""),"",$U37+IF($V37="",TermsDays,$V37))</f>
        <v/>
      </c>
      <c r="Y37" s="27"/>
      <c r="Z37" s="49" t="str">
        <f aca="false">IF($L37="Invoiced",COUNTIF($L$6:$L37,"Invoiced"),"")</f>
        <v/>
      </c>
    </row>
    <row r="38" customFormat="false" ht="15" hidden="false" customHeight="false" outlineLevel="0" collapsed="false">
      <c r="A38" s="45" t="str">
        <f aca="false">IF($C38="","",POStart+COUNTA($C$6:$C38)-1)</f>
        <v/>
      </c>
      <c r="B38" s="45" t="str">
        <f aca="false">IF($A38="","",POPrefix&amp;$A38)</f>
        <v/>
      </c>
      <c r="C38" s="50"/>
      <c r="D38" s="27"/>
      <c r="E38" s="27"/>
      <c r="F38" s="27"/>
      <c r="G38" s="27"/>
      <c r="H38" s="27"/>
      <c r="I38" s="27"/>
      <c r="J38" s="27"/>
      <c r="K38" s="50"/>
      <c r="L38" s="27"/>
      <c r="M38" s="28"/>
      <c r="N38" s="28"/>
      <c r="O38" s="28"/>
      <c r="P38" s="26" t="str">
        <f aca="false">IF($C38="","",IF(OR($L38="Closed",$L38="Cancelled"),0,MAX(0,$M38-$O38)))</f>
        <v/>
      </c>
      <c r="Q38" s="45" t="str">
        <f aca="true">IF(OR($C38="",$L38="Closed",$L38="Cancelled",$L38="Invoiced"),"",MAX(0,TODAY()-$C38))</f>
        <v/>
      </c>
      <c r="R38" s="50"/>
      <c r="S38" s="47" t="str">
        <f aca="true">IF($C38="","",IF(AND($O38&gt;0,$O38&gt;$M38),"Invoice over PO - check",IF(AND($J38="Pending approval",TODAY()-$C38&gt;AlertDays),"Approval waiting",IF(AND($R38&lt;&gt;"",$R38&lt;TODAY(),OR($L38="Open",$L38="Partially received")),"Delivery overdue",""))))</f>
        <v/>
      </c>
      <c r="T38" s="27"/>
      <c r="U38" s="50"/>
      <c r="V38" s="27"/>
      <c r="W38" s="27"/>
      <c r="X38" s="48" t="str">
        <f aca="false">IF(OR($U38="",$C38=""),"",$U38+IF($V38="",TermsDays,$V38))</f>
        <v/>
      </c>
      <c r="Y38" s="27"/>
      <c r="Z38" s="49" t="str">
        <f aca="false">IF($L38="Invoiced",COUNTIF($L$6:$L38,"Invoiced"),"")</f>
        <v/>
      </c>
    </row>
    <row r="39" customFormat="false" ht="15" hidden="false" customHeight="false" outlineLevel="0" collapsed="false">
      <c r="A39" s="45" t="str">
        <f aca="false">IF($C39="","",POStart+COUNTA($C$6:$C39)-1)</f>
        <v/>
      </c>
      <c r="B39" s="45" t="str">
        <f aca="false">IF($A39="","",POPrefix&amp;$A39)</f>
        <v/>
      </c>
      <c r="C39" s="50"/>
      <c r="D39" s="27"/>
      <c r="E39" s="27"/>
      <c r="F39" s="27"/>
      <c r="G39" s="27"/>
      <c r="H39" s="27"/>
      <c r="I39" s="27"/>
      <c r="J39" s="27"/>
      <c r="K39" s="50"/>
      <c r="L39" s="27"/>
      <c r="M39" s="28"/>
      <c r="N39" s="28"/>
      <c r="O39" s="28"/>
      <c r="P39" s="26" t="str">
        <f aca="false">IF($C39="","",IF(OR($L39="Closed",$L39="Cancelled"),0,MAX(0,$M39-$O39)))</f>
        <v/>
      </c>
      <c r="Q39" s="45" t="str">
        <f aca="true">IF(OR($C39="",$L39="Closed",$L39="Cancelled",$L39="Invoiced"),"",MAX(0,TODAY()-$C39))</f>
        <v/>
      </c>
      <c r="R39" s="50"/>
      <c r="S39" s="47" t="str">
        <f aca="true">IF($C39="","",IF(AND($O39&gt;0,$O39&gt;$M39),"Invoice over PO - check",IF(AND($J39="Pending approval",TODAY()-$C39&gt;AlertDays),"Approval waiting",IF(AND($R39&lt;&gt;"",$R39&lt;TODAY(),OR($L39="Open",$L39="Partially received")),"Delivery overdue",""))))</f>
        <v/>
      </c>
      <c r="T39" s="27"/>
      <c r="U39" s="50"/>
      <c r="V39" s="27"/>
      <c r="W39" s="27"/>
      <c r="X39" s="48" t="str">
        <f aca="false">IF(OR($U39="",$C39=""),"",$U39+IF($V39="",TermsDays,$V39))</f>
        <v/>
      </c>
      <c r="Y39" s="27"/>
      <c r="Z39" s="49" t="str">
        <f aca="false">IF($L39="Invoiced",COUNTIF($L$6:$L39,"Invoiced"),"")</f>
        <v/>
      </c>
    </row>
    <row r="40" customFormat="false" ht="15" hidden="false" customHeight="false" outlineLevel="0" collapsed="false">
      <c r="A40" s="45" t="str">
        <f aca="false">IF($C40="","",POStart+COUNTA($C$6:$C40)-1)</f>
        <v/>
      </c>
      <c r="B40" s="45" t="str">
        <f aca="false">IF($A40="","",POPrefix&amp;$A40)</f>
        <v/>
      </c>
      <c r="C40" s="50"/>
      <c r="D40" s="27"/>
      <c r="E40" s="27"/>
      <c r="F40" s="27"/>
      <c r="G40" s="27"/>
      <c r="H40" s="27"/>
      <c r="I40" s="27"/>
      <c r="J40" s="27"/>
      <c r="K40" s="50"/>
      <c r="L40" s="27"/>
      <c r="M40" s="28"/>
      <c r="N40" s="28"/>
      <c r="O40" s="28"/>
      <c r="P40" s="26" t="str">
        <f aca="false">IF($C40="","",IF(OR($L40="Closed",$L40="Cancelled"),0,MAX(0,$M40-$O40)))</f>
        <v/>
      </c>
      <c r="Q40" s="45" t="str">
        <f aca="true">IF(OR($C40="",$L40="Closed",$L40="Cancelled",$L40="Invoiced"),"",MAX(0,TODAY()-$C40))</f>
        <v/>
      </c>
      <c r="R40" s="50"/>
      <c r="S40" s="47" t="str">
        <f aca="true">IF($C40="","",IF(AND($O40&gt;0,$O40&gt;$M40),"Invoice over PO - check",IF(AND($J40="Pending approval",TODAY()-$C40&gt;AlertDays),"Approval waiting",IF(AND($R40&lt;&gt;"",$R40&lt;TODAY(),OR($L40="Open",$L40="Partially received")),"Delivery overdue",""))))</f>
        <v/>
      </c>
      <c r="T40" s="27"/>
      <c r="U40" s="50"/>
      <c r="V40" s="27"/>
      <c r="W40" s="27"/>
      <c r="X40" s="48" t="str">
        <f aca="false">IF(OR($U40="",$C40=""),"",$U40+IF($V40="",TermsDays,$V40))</f>
        <v/>
      </c>
      <c r="Y40" s="27"/>
      <c r="Z40" s="49" t="str">
        <f aca="false">IF($L40="Invoiced",COUNTIF($L$6:$L40,"Invoiced"),"")</f>
        <v/>
      </c>
    </row>
    <row r="41" customFormat="false" ht="15" hidden="false" customHeight="false" outlineLevel="0" collapsed="false">
      <c r="A41" s="45" t="str">
        <f aca="false">IF($C41="","",POStart+COUNTA($C$6:$C41)-1)</f>
        <v/>
      </c>
      <c r="B41" s="45" t="str">
        <f aca="false">IF($A41="","",POPrefix&amp;$A41)</f>
        <v/>
      </c>
      <c r="C41" s="50"/>
      <c r="D41" s="27"/>
      <c r="E41" s="27"/>
      <c r="F41" s="27"/>
      <c r="G41" s="27"/>
      <c r="H41" s="27"/>
      <c r="I41" s="27"/>
      <c r="J41" s="27"/>
      <c r="K41" s="50"/>
      <c r="L41" s="27"/>
      <c r="M41" s="28"/>
      <c r="N41" s="28"/>
      <c r="O41" s="28"/>
      <c r="P41" s="26" t="str">
        <f aca="false">IF($C41="","",IF(OR($L41="Closed",$L41="Cancelled"),0,MAX(0,$M41-$O41)))</f>
        <v/>
      </c>
      <c r="Q41" s="45" t="str">
        <f aca="true">IF(OR($C41="",$L41="Closed",$L41="Cancelled",$L41="Invoiced"),"",MAX(0,TODAY()-$C41))</f>
        <v/>
      </c>
      <c r="R41" s="50"/>
      <c r="S41" s="47" t="str">
        <f aca="true">IF($C41="","",IF(AND($O41&gt;0,$O41&gt;$M41),"Invoice over PO - check",IF(AND($J41="Pending approval",TODAY()-$C41&gt;AlertDays),"Approval waiting",IF(AND($R41&lt;&gt;"",$R41&lt;TODAY(),OR($L41="Open",$L41="Partially received")),"Delivery overdue",""))))</f>
        <v/>
      </c>
      <c r="T41" s="27"/>
      <c r="U41" s="50"/>
      <c r="V41" s="27"/>
      <c r="W41" s="27"/>
      <c r="X41" s="48" t="str">
        <f aca="false">IF(OR($U41="",$C41=""),"",$U41+IF($V41="",TermsDays,$V41))</f>
        <v/>
      </c>
      <c r="Y41" s="27"/>
      <c r="Z41" s="49" t="str">
        <f aca="false">IF($L41="Invoiced",COUNTIF($L$6:$L41,"Invoiced"),"")</f>
        <v/>
      </c>
    </row>
    <row r="42" customFormat="false" ht="15" hidden="false" customHeight="false" outlineLevel="0" collapsed="false">
      <c r="A42" s="45" t="str">
        <f aca="false">IF($C42="","",POStart+COUNTA($C$6:$C42)-1)</f>
        <v/>
      </c>
      <c r="B42" s="45" t="str">
        <f aca="false">IF($A42="","",POPrefix&amp;$A42)</f>
        <v/>
      </c>
      <c r="C42" s="50"/>
      <c r="D42" s="27"/>
      <c r="E42" s="27"/>
      <c r="F42" s="27"/>
      <c r="G42" s="27"/>
      <c r="H42" s="27"/>
      <c r="I42" s="27"/>
      <c r="J42" s="27"/>
      <c r="K42" s="50"/>
      <c r="L42" s="27"/>
      <c r="M42" s="28"/>
      <c r="N42" s="28"/>
      <c r="O42" s="28"/>
      <c r="P42" s="26" t="str">
        <f aca="false">IF($C42="","",IF(OR($L42="Closed",$L42="Cancelled"),0,MAX(0,$M42-$O42)))</f>
        <v/>
      </c>
      <c r="Q42" s="45" t="str">
        <f aca="true">IF(OR($C42="",$L42="Closed",$L42="Cancelled",$L42="Invoiced"),"",MAX(0,TODAY()-$C42))</f>
        <v/>
      </c>
      <c r="R42" s="50"/>
      <c r="S42" s="47" t="str">
        <f aca="true">IF($C42="","",IF(AND($O42&gt;0,$O42&gt;$M42),"Invoice over PO - check",IF(AND($J42="Pending approval",TODAY()-$C42&gt;AlertDays),"Approval waiting",IF(AND($R42&lt;&gt;"",$R42&lt;TODAY(),OR($L42="Open",$L42="Partially received")),"Delivery overdue",""))))</f>
        <v/>
      </c>
      <c r="T42" s="27"/>
      <c r="U42" s="50"/>
      <c r="V42" s="27"/>
      <c r="W42" s="27"/>
      <c r="X42" s="48" t="str">
        <f aca="false">IF(OR($U42="",$C42=""),"",$U42+IF($V42="",TermsDays,$V42))</f>
        <v/>
      </c>
      <c r="Y42" s="27"/>
      <c r="Z42" s="49" t="str">
        <f aca="false">IF($L42="Invoiced",COUNTIF($L$6:$L42,"Invoiced"),"")</f>
        <v/>
      </c>
    </row>
    <row r="43" customFormat="false" ht="15" hidden="false" customHeight="false" outlineLevel="0" collapsed="false">
      <c r="A43" s="45" t="str">
        <f aca="false">IF($C43="","",POStart+COUNTA($C$6:$C43)-1)</f>
        <v/>
      </c>
      <c r="B43" s="45" t="str">
        <f aca="false">IF($A43="","",POPrefix&amp;$A43)</f>
        <v/>
      </c>
      <c r="C43" s="50"/>
      <c r="D43" s="27"/>
      <c r="E43" s="27"/>
      <c r="F43" s="27"/>
      <c r="G43" s="27"/>
      <c r="H43" s="27"/>
      <c r="I43" s="27"/>
      <c r="J43" s="27"/>
      <c r="K43" s="50"/>
      <c r="L43" s="27"/>
      <c r="M43" s="28"/>
      <c r="N43" s="28"/>
      <c r="O43" s="28"/>
      <c r="P43" s="26" t="str">
        <f aca="false">IF($C43="","",IF(OR($L43="Closed",$L43="Cancelled"),0,MAX(0,$M43-$O43)))</f>
        <v/>
      </c>
      <c r="Q43" s="45" t="str">
        <f aca="true">IF(OR($C43="",$L43="Closed",$L43="Cancelled",$L43="Invoiced"),"",MAX(0,TODAY()-$C43))</f>
        <v/>
      </c>
      <c r="R43" s="50"/>
      <c r="S43" s="47" t="str">
        <f aca="true">IF($C43="","",IF(AND($O43&gt;0,$O43&gt;$M43),"Invoice over PO - check",IF(AND($J43="Pending approval",TODAY()-$C43&gt;AlertDays),"Approval waiting",IF(AND($R43&lt;&gt;"",$R43&lt;TODAY(),OR($L43="Open",$L43="Partially received")),"Delivery overdue",""))))</f>
        <v/>
      </c>
      <c r="T43" s="27"/>
      <c r="U43" s="50"/>
      <c r="V43" s="27"/>
      <c r="W43" s="27"/>
      <c r="X43" s="48" t="str">
        <f aca="false">IF(OR($U43="",$C43=""),"",$U43+IF($V43="",TermsDays,$V43))</f>
        <v/>
      </c>
      <c r="Y43" s="27"/>
      <c r="Z43" s="49" t="str">
        <f aca="false">IF($L43="Invoiced",COUNTIF($L$6:$L43,"Invoiced"),"")</f>
        <v/>
      </c>
    </row>
    <row r="44" customFormat="false" ht="15" hidden="false" customHeight="false" outlineLevel="0" collapsed="false">
      <c r="A44" s="45" t="str">
        <f aca="false">IF($C44="","",POStart+COUNTA($C$6:$C44)-1)</f>
        <v/>
      </c>
      <c r="B44" s="45" t="str">
        <f aca="false">IF($A44="","",POPrefix&amp;$A44)</f>
        <v/>
      </c>
      <c r="C44" s="50"/>
      <c r="D44" s="27"/>
      <c r="E44" s="27"/>
      <c r="F44" s="27"/>
      <c r="G44" s="27"/>
      <c r="H44" s="27"/>
      <c r="I44" s="27"/>
      <c r="J44" s="27"/>
      <c r="K44" s="50"/>
      <c r="L44" s="27"/>
      <c r="M44" s="28"/>
      <c r="N44" s="28"/>
      <c r="O44" s="28"/>
      <c r="P44" s="26" t="str">
        <f aca="false">IF($C44="","",IF(OR($L44="Closed",$L44="Cancelled"),0,MAX(0,$M44-$O44)))</f>
        <v/>
      </c>
      <c r="Q44" s="45" t="str">
        <f aca="true">IF(OR($C44="",$L44="Closed",$L44="Cancelled",$L44="Invoiced"),"",MAX(0,TODAY()-$C44))</f>
        <v/>
      </c>
      <c r="R44" s="50"/>
      <c r="S44" s="47" t="str">
        <f aca="true">IF($C44="","",IF(AND($O44&gt;0,$O44&gt;$M44),"Invoice over PO - check",IF(AND($J44="Pending approval",TODAY()-$C44&gt;AlertDays),"Approval waiting",IF(AND($R44&lt;&gt;"",$R44&lt;TODAY(),OR($L44="Open",$L44="Partially received")),"Delivery overdue",""))))</f>
        <v/>
      </c>
      <c r="T44" s="27"/>
      <c r="U44" s="50"/>
      <c r="V44" s="27"/>
      <c r="W44" s="27"/>
      <c r="X44" s="48" t="str">
        <f aca="false">IF(OR($U44="",$C44=""),"",$U44+IF($V44="",TermsDays,$V44))</f>
        <v/>
      </c>
      <c r="Y44" s="27"/>
      <c r="Z44" s="49" t="str">
        <f aca="false">IF($L44="Invoiced",COUNTIF($L$6:$L44,"Invoiced"),"")</f>
        <v/>
      </c>
    </row>
    <row r="45" customFormat="false" ht="15" hidden="false" customHeight="false" outlineLevel="0" collapsed="false">
      <c r="A45" s="45" t="str">
        <f aca="false">IF($C45="","",POStart+COUNTA($C$6:$C45)-1)</f>
        <v/>
      </c>
      <c r="B45" s="45" t="str">
        <f aca="false">IF($A45="","",POPrefix&amp;$A45)</f>
        <v/>
      </c>
      <c r="C45" s="50"/>
      <c r="D45" s="27"/>
      <c r="E45" s="27"/>
      <c r="F45" s="27"/>
      <c r="G45" s="27"/>
      <c r="H45" s="27"/>
      <c r="I45" s="27"/>
      <c r="J45" s="27"/>
      <c r="K45" s="50"/>
      <c r="L45" s="27"/>
      <c r="M45" s="28"/>
      <c r="N45" s="28"/>
      <c r="O45" s="28"/>
      <c r="P45" s="26" t="str">
        <f aca="false">IF($C45="","",IF(OR($L45="Closed",$L45="Cancelled"),0,MAX(0,$M45-$O45)))</f>
        <v/>
      </c>
      <c r="Q45" s="45" t="str">
        <f aca="true">IF(OR($C45="",$L45="Closed",$L45="Cancelled",$L45="Invoiced"),"",MAX(0,TODAY()-$C45))</f>
        <v/>
      </c>
      <c r="R45" s="50"/>
      <c r="S45" s="47" t="str">
        <f aca="true">IF($C45="","",IF(AND($O45&gt;0,$O45&gt;$M45),"Invoice over PO - check",IF(AND($J45="Pending approval",TODAY()-$C45&gt;AlertDays),"Approval waiting",IF(AND($R45&lt;&gt;"",$R45&lt;TODAY(),OR($L45="Open",$L45="Partially received")),"Delivery overdue",""))))</f>
        <v/>
      </c>
      <c r="T45" s="27"/>
      <c r="U45" s="50"/>
      <c r="V45" s="27"/>
      <c r="W45" s="27"/>
      <c r="X45" s="48" t="str">
        <f aca="false">IF(OR($U45="",$C45=""),"",$U45+IF($V45="",TermsDays,$V45))</f>
        <v/>
      </c>
      <c r="Y45" s="27"/>
      <c r="Z45" s="49" t="str">
        <f aca="false">IF($L45="Invoiced",COUNTIF($L$6:$L45,"Invoiced"),"")</f>
        <v/>
      </c>
    </row>
    <row r="46" customFormat="false" ht="15" hidden="false" customHeight="false" outlineLevel="0" collapsed="false">
      <c r="A46" s="45" t="str">
        <f aca="false">IF($C46="","",POStart+COUNTA($C$6:$C46)-1)</f>
        <v/>
      </c>
      <c r="B46" s="45" t="str">
        <f aca="false">IF($A46="","",POPrefix&amp;$A46)</f>
        <v/>
      </c>
      <c r="C46" s="50"/>
      <c r="D46" s="27"/>
      <c r="E46" s="27"/>
      <c r="F46" s="27"/>
      <c r="G46" s="27"/>
      <c r="H46" s="27"/>
      <c r="I46" s="27"/>
      <c r="J46" s="27"/>
      <c r="K46" s="50"/>
      <c r="L46" s="27"/>
      <c r="M46" s="28"/>
      <c r="N46" s="28"/>
      <c r="O46" s="28"/>
      <c r="P46" s="26" t="str">
        <f aca="false">IF($C46="","",IF(OR($L46="Closed",$L46="Cancelled"),0,MAX(0,$M46-$O46)))</f>
        <v/>
      </c>
      <c r="Q46" s="45" t="str">
        <f aca="true">IF(OR($C46="",$L46="Closed",$L46="Cancelled",$L46="Invoiced"),"",MAX(0,TODAY()-$C46))</f>
        <v/>
      </c>
      <c r="R46" s="50"/>
      <c r="S46" s="47" t="str">
        <f aca="true">IF($C46="","",IF(AND($O46&gt;0,$O46&gt;$M46),"Invoice over PO - check",IF(AND($J46="Pending approval",TODAY()-$C46&gt;AlertDays),"Approval waiting",IF(AND($R46&lt;&gt;"",$R46&lt;TODAY(),OR($L46="Open",$L46="Partially received")),"Delivery overdue",""))))</f>
        <v/>
      </c>
      <c r="T46" s="27"/>
      <c r="U46" s="50"/>
      <c r="V46" s="27"/>
      <c r="W46" s="27"/>
      <c r="X46" s="48" t="str">
        <f aca="false">IF(OR($U46="",$C46=""),"",$U46+IF($V46="",TermsDays,$V46))</f>
        <v/>
      </c>
      <c r="Y46" s="27"/>
      <c r="Z46" s="49" t="str">
        <f aca="false">IF($L46="Invoiced",COUNTIF($L$6:$L46,"Invoiced"),"")</f>
        <v/>
      </c>
    </row>
    <row r="47" customFormat="false" ht="15" hidden="false" customHeight="false" outlineLevel="0" collapsed="false">
      <c r="A47" s="45" t="str">
        <f aca="false">IF($C47="","",POStart+COUNTA($C$6:$C47)-1)</f>
        <v/>
      </c>
      <c r="B47" s="45" t="str">
        <f aca="false">IF($A47="","",POPrefix&amp;$A47)</f>
        <v/>
      </c>
      <c r="C47" s="50"/>
      <c r="D47" s="27"/>
      <c r="E47" s="27"/>
      <c r="F47" s="27"/>
      <c r="G47" s="27"/>
      <c r="H47" s="27"/>
      <c r="I47" s="27"/>
      <c r="J47" s="27"/>
      <c r="K47" s="50"/>
      <c r="L47" s="27"/>
      <c r="M47" s="28"/>
      <c r="N47" s="28"/>
      <c r="O47" s="28"/>
      <c r="P47" s="26" t="str">
        <f aca="false">IF($C47="","",IF(OR($L47="Closed",$L47="Cancelled"),0,MAX(0,$M47-$O47)))</f>
        <v/>
      </c>
      <c r="Q47" s="45" t="str">
        <f aca="true">IF(OR($C47="",$L47="Closed",$L47="Cancelled",$L47="Invoiced"),"",MAX(0,TODAY()-$C47))</f>
        <v/>
      </c>
      <c r="R47" s="50"/>
      <c r="S47" s="47" t="str">
        <f aca="true">IF($C47="","",IF(AND($O47&gt;0,$O47&gt;$M47),"Invoice over PO - check",IF(AND($J47="Pending approval",TODAY()-$C47&gt;AlertDays),"Approval waiting",IF(AND($R47&lt;&gt;"",$R47&lt;TODAY(),OR($L47="Open",$L47="Partially received")),"Delivery overdue",""))))</f>
        <v/>
      </c>
      <c r="T47" s="27"/>
      <c r="U47" s="50"/>
      <c r="V47" s="27"/>
      <c r="W47" s="27"/>
      <c r="X47" s="48" t="str">
        <f aca="false">IF(OR($U47="",$C47=""),"",$U47+IF($V47="",TermsDays,$V47))</f>
        <v/>
      </c>
      <c r="Y47" s="27"/>
      <c r="Z47" s="49" t="str">
        <f aca="false">IF($L47="Invoiced",COUNTIF($L$6:$L47,"Invoiced"),"")</f>
        <v/>
      </c>
    </row>
    <row r="48" customFormat="false" ht="15" hidden="false" customHeight="false" outlineLevel="0" collapsed="false">
      <c r="A48" s="45" t="str">
        <f aca="false">IF($C48="","",POStart+COUNTA($C$6:$C48)-1)</f>
        <v/>
      </c>
      <c r="B48" s="45" t="str">
        <f aca="false">IF($A48="","",POPrefix&amp;$A48)</f>
        <v/>
      </c>
      <c r="C48" s="50"/>
      <c r="D48" s="27"/>
      <c r="E48" s="27"/>
      <c r="F48" s="27"/>
      <c r="G48" s="27"/>
      <c r="H48" s="27"/>
      <c r="I48" s="27"/>
      <c r="J48" s="27"/>
      <c r="K48" s="50"/>
      <c r="L48" s="27"/>
      <c r="M48" s="28"/>
      <c r="N48" s="28"/>
      <c r="O48" s="28"/>
      <c r="P48" s="26" t="str">
        <f aca="false">IF($C48="","",IF(OR($L48="Closed",$L48="Cancelled"),0,MAX(0,$M48-$O48)))</f>
        <v/>
      </c>
      <c r="Q48" s="45" t="str">
        <f aca="true">IF(OR($C48="",$L48="Closed",$L48="Cancelled",$L48="Invoiced"),"",MAX(0,TODAY()-$C48))</f>
        <v/>
      </c>
      <c r="R48" s="50"/>
      <c r="S48" s="47" t="str">
        <f aca="true">IF($C48="","",IF(AND($O48&gt;0,$O48&gt;$M48),"Invoice over PO - check",IF(AND($J48="Pending approval",TODAY()-$C48&gt;AlertDays),"Approval waiting",IF(AND($R48&lt;&gt;"",$R48&lt;TODAY(),OR($L48="Open",$L48="Partially received")),"Delivery overdue",""))))</f>
        <v/>
      </c>
      <c r="T48" s="27"/>
      <c r="U48" s="50"/>
      <c r="V48" s="27"/>
      <c r="W48" s="27"/>
      <c r="X48" s="48" t="str">
        <f aca="false">IF(OR($U48="",$C48=""),"",$U48+IF($V48="",TermsDays,$V48))</f>
        <v/>
      </c>
      <c r="Y48" s="27"/>
      <c r="Z48" s="49" t="str">
        <f aca="false">IF($L48="Invoiced",COUNTIF($L$6:$L48,"Invoiced"),"")</f>
        <v/>
      </c>
    </row>
    <row r="49" customFormat="false" ht="15" hidden="false" customHeight="false" outlineLevel="0" collapsed="false">
      <c r="A49" s="45" t="str">
        <f aca="false">IF($C49="","",POStart+COUNTA($C$6:$C49)-1)</f>
        <v/>
      </c>
      <c r="B49" s="45" t="str">
        <f aca="false">IF($A49="","",POPrefix&amp;$A49)</f>
        <v/>
      </c>
      <c r="C49" s="50"/>
      <c r="D49" s="27"/>
      <c r="E49" s="27"/>
      <c r="F49" s="27"/>
      <c r="G49" s="27"/>
      <c r="H49" s="27"/>
      <c r="I49" s="27"/>
      <c r="J49" s="27"/>
      <c r="K49" s="50"/>
      <c r="L49" s="27"/>
      <c r="M49" s="28"/>
      <c r="N49" s="28"/>
      <c r="O49" s="28"/>
      <c r="P49" s="26" t="str">
        <f aca="false">IF($C49="","",IF(OR($L49="Closed",$L49="Cancelled"),0,MAX(0,$M49-$O49)))</f>
        <v/>
      </c>
      <c r="Q49" s="45" t="str">
        <f aca="true">IF(OR($C49="",$L49="Closed",$L49="Cancelled",$L49="Invoiced"),"",MAX(0,TODAY()-$C49))</f>
        <v/>
      </c>
      <c r="R49" s="50"/>
      <c r="S49" s="47" t="str">
        <f aca="true">IF($C49="","",IF(AND($O49&gt;0,$O49&gt;$M49),"Invoice over PO - check",IF(AND($J49="Pending approval",TODAY()-$C49&gt;AlertDays),"Approval waiting",IF(AND($R49&lt;&gt;"",$R49&lt;TODAY(),OR($L49="Open",$L49="Partially received")),"Delivery overdue",""))))</f>
        <v/>
      </c>
      <c r="T49" s="27"/>
      <c r="U49" s="50"/>
      <c r="V49" s="27"/>
      <c r="W49" s="27"/>
      <c r="X49" s="48" t="str">
        <f aca="false">IF(OR($U49="",$C49=""),"",$U49+IF($V49="",TermsDays,$V49))</f>
        <v/>
      </c>
      <c r="Y49" s="27"/>
      <c r="Z49" s="49" t="str">
        <f aca="false">IF($L49="Invoiced",COUNTIF($L$6:$L49,"Invoiced"),"")</f>
        <v/>
      </c>
    </row>
    <row r="50" customFormat="false" ht="15" hidden="false" customHeight="false" outlineLevel="0" collapsed="false">
      <c r="A50" s="45" t="str">
        <f aca="false">IF($C50="","",POStart+COUNTA($C$6:$C50)-1)</f>
        <v/>
      </c>
      <c r="B50" s="45" t="str">
        <f aca="false">IF($A50="","",POPrefix&amp;$A50)</f>
        <v/>
      </c>
      <c r="C50" s="50"/>
      <c r="D50" s="27"/>
      <c r="E50" s="27"/>
      <c r="F50" s="27"/>
      <c r="G50" s="27"/>
      <c r="H50" s="27"/>
      <c r="I50" s="27"/>
      <c r="J50" s="27"/>
      <c r="K50" s="50"/>
      <c r="L50" s="27"/>
      <c r="M50" s="28"/>
      <c r="N50" s="28"/>
      <c r="O50" s="28"/>
      <c r="P50" s="26" t="str">
        <f aca="false">IF($C50="","",IF(OR($L50="Closed",$L50="Cancelled"),0,MAX(0,$M50-$O50)))</f>
        <v/>
      </c>
      <c r="Q50" s="45" t="str">
        <f aca="true">IF(OR($C50="",$L50="Closed",$L50="Cancelled",$L50="Invoiced"),"",MAX(0,TODAY()-$C50))</f>
        <v/>
      </c>
      <c r="R50" s="50"/>
      <c r="S50" s="47" t="str">
        <f aca="true">IF($C50="","",IF(AND($O50&gt;0,$O50&gt;$M50),"Invoice over PO - check",IF(AND($J50="Pending approval",TODAY()-$C50&gt;AlertDays),"Approval waiting",IF(AND($R50&lt;&gt;"",$R50&lt;TODAY(),OR($L50="Open",$L50="Partially received")),"Delivery overdue",""))))</f>
        <v/>
      </c>
      <c r="T50" s="27"/>
      <c r="U50" s="50"/>
      <c r="V50" s="27"/>
      <c r="W50" s="27"/>
      <c r="X50" s="48" t="str">
        <f aca="false">IF(OR($U50="",$C50=""),"",$U50+IF($V50="",TermsDays,$V50))</f>
        <v/>
      </c>
      <c r="Y50" s="27"/>
      <c r="Z50" s="49" t="str">
        <f aca="false">IF($L50="Invoiced",COUNTIF($L$6:$L50,"Invoiced"),"")</f>
        <v/>
      </c>
    </row>
    <row r="51" customFormat="false" ht="15" hidden="false" customHeight="false" outlineLevel="0" collapsed="false">
      <c r="A51" s="45" t="str">
        <f aca="false">IF($C51="","",POStart+COUNTA($C$6:$C51)-1)</f>
        <v/>
      </c>
      <c r="B51" s="45" t="str">
        <f aca="false">IF($A51="","",POPrefix&amp;$A51)</f>
        <v/>
      </c>
      <c r="C51" s="50"/>
      <c r="D51" s="27"/>
      <c r="E51" s="27"/>
      <c r="F51" s="27"/>
      <c r="G51" s="27"/>
      <c r="H51" s="27"/>
      <c r="I51" s="27"/>
      <c r="J51" s="27"/>
      <c r="K51" s="50"/>
      <c r="L51" s="27"/>
      <c r="M51" s="28"/>
      <c r="N51" s="28"/>
      <c r="O51" s="28"/>
      <c r="P51" s="26" t="str">
        <f aca="false">IF($C51="","",IF(OR($L51="Closed",$L51="Cancelled"),0,MAX(0,$M51-$O51)))</f>
        <v/>
      </c>
      <c r="Q51" s="45" t="str">
        <f aca="true">IF(OR($C51="",$L51="Closed",$L51="Cancelled",$L51="Invoiced"),"",MAX(0,TODAY()-$C51))</f>
        <v/>
      </c>
      <c r="R51" s="50"/>
      <c r="S51" s="47" t="str">
        <f aca="true">IF($C51="","",IF(AND($O51&gt;0,$O51&gt;$M51),"Invoice over PO - check",IF(AND($J51="Pending approval",TODAY()-$C51&gt;AlertDays),"Approval waiting",IF(AND($R51&lt;&gt;"",$R51&lt;TODAY(),OR($L51="Open",$L51="Partially received")),"Delivery overdue",""))))</f>
        <v/>
      </c>
      <c r="T51" s="27"/>
      <c r="U51" s="50"/>
      <c r="V51" s="27"/>
      <c r="W51" s="27"/>
      <c r="X51" s="48" t="str">
        <f aca="false">IF(OR($U51="",$C51=""),"",$U51+IF($V51="",TermsDays,$V51))</f>
        <v/>
      </c>
      <c r="Y51" s="27"/>
      <c r="Z51" s="49" t="str">
        <f aca="false">IF($L51="Invoiced",COUNTIF($L$6:$L51,"Invoiced"),"")</f>
        <v/>
      </c>
    </row>
    <row r="52" customFormat="false" ht="15" hidden="false" customHeight="false" outlineLevel="0" collapsed="false">
      <c r="A52" s="45" t="str">
        <f aca="false">IF($C52="","",POStart+COUNTA($C$6:$C52)-1)</f>
        <v/>
      </c>
      <c r="B52" s="45" t="str">
        <f aca="false">IF($A52="","",POPrefix&amp;$A52)</f>
        <v/>
      </c>
      <c r="C52" s="50"/>
      <c r="D52" s="27"/>
      <c r="E52" s="27"/>
      <c r="F52" s="27"/>
      <c r="G52" s="27"/>
      <c r="H52" s="27"/>
      <c r="I52" s="27"/>
      <c r="J52" s="27"/>
      <c r="K52" s="50"/>
      <c r="L52" s="27"/>
      <c r="M52" s="28"/>
      <c r="N52" s="28"/>
      <c r="O52" s="28"/>
      <c r="P52" s="26" t="str">
        <f aca="false">IF($C52="","",IF(OR($L52="Closed",$L52="Cancelled"),0,MAX(0,$M52-$O52)))</f>
        <v/>
      </c>
      <c r="Q52" s="45" t="str">
        <f aca="true">IF(OR($C52="",$L52="Closed",$L52="Cancelled",$L52="Invoiced"),"",MAX(0,TODAY()-$C52))</f>
        <v/>
      </c>
      <c r="R52" s="50"/>
      <c r="S52" s="47" t="str">
        <f aca="true">IF($C52="","",IF(AND($O52&gt;0,$O52&gt;$M52),"Invoice over PO - check",IF(AND($J52="Pending approval",TODAY()-$C52&gt;AlertDays),"Approval waiting",IF(AND($R52&lt;&gt;"",$R52&lt;TODAY(),OR($L52="Open",$L52="Partially received")),"Delivery overdue",""))))</f>
        <v/>
      </c>
      <c r="T52" s="27"/>
      <c r="U52" s="50"/>
      <c r="V52" s="27"/>
      <c r="W52" s="27"/>
      <c r="X52" s="48" t="str">
        <f aca="false">IF(OR($U52="",$C52=""),"",$U52+IF($V52="",TermsDays,$V52))</f>
        <v/>
      </c>
      <c r="Y52" s="27"/>
      <c r="Z52" s="49" t="str">
        <f aca="false">IF($L52="Invoiced",COUNTIF($L$6:$L52,"Invoiced"),"")</f>
        <v/>
      </c>
    </row>
    <row r="53" customFormat="false" ht="15" hidden="false" customHeight="false" outlineLevel="0" collapsed="false">
      <c r="A53" s="45" t="str">
        <f aca="false">IF($C53="","",POStart+COUNTA($C$6:$C53)-1)</f>
        <v/>
      </c>
      <c r="B53" s="45" t="str">
        <f aca="false">IF($A53="","",POPrefix&amp;$A53)</f>
        <v/>
      </c>
      <c r="C53" s="50"/>
      <c r="D53" s="27"/>
      <c r="E53" s="27"/>
      <c r="F53" s="27"/>
      <c r="G53" s="27"/>
      <c r="H53" s="27"/>
      <c r="I53" s="27"/>
      <c r="J53" s="27"/>
      <c r="K53" s="50"/>
      <c r="L53" s="27"/>
      <c r="M53" s="28"/>
      <c r="N53" s="28"/>
      <c r="O53" s="28"/>
      <c r="P53" s="26" t="str">
        <f aca="false">IF($C53="","",IF(OR($L53="Closed",$L53="Cancelled"),0,MAX(0,$M53-$O53)))</f>
        <v/>
      </c>
      <c r="Q53" s="45" t="str">
        <f aca="true">IF(OR($C53="",$L53="Closed",$L53="Cancelled",$L53="Invoiced"),"",MAX(0,TODAY()-$C53))</f>
        <v/>
      </c>
      <c r="R53" s="50"/>
      <c r="S53" s="47" t="str">
        <f aca="true">IF($C53="","",IF(AND($O53&gt;0,$O53&gt;$M53),"Invoice over PO - check",IF(AND($J53="Pending approval",TODAY()-$C53&gt;AlertDays),"Approval waiting",IF(AND($R53&lt;&gt;"",$R53&lt;TODAY(),OR($L53="Open",$L53="Partially received")),"Delivery overdue",""))))</f>
        <v/>
      </c>
      <c r="T53" s="27"/>
      <c r="U53" s="50"/>
      <c r="V53" s="27"/>
      <c r="W53" s="27"/>
      <c r="X53" s="48" t="str">
        <f aca="false">IF(OR($U53="",$C53=""),"",$U53+IF($V53="",TermsDays,$V53))</f>
        <v/>
      </c>
      <c r="Y53" s="27"/>
      <c r="Z53" s="49" t="str">
        <f aca="false">IF($L53="Invoiced",COUNTIF($L$6:$L53,"Invoiced"),"")</f>
        <v/>
      </c>
    </row>
    <row r="54" customFormat="false" ht="15" hidden="false" customHeight="false" outlineLevel="0" collapsed="false">
      <c r="A54" s="45" t="str">
        <f aca="false">IF($C54="","",POStart+COUNTA($C$6:$C54)-1)</f>
        <v/>
      </c>
      <c r="B54" s="45" t="str">
        <f aca="false">IF($A54="","",POPrefix&amp;$A54)</f>
        <v/>
      </c>
      <c r="C54" s="50"/>
      <c r="D54" s="27"/>
      <c r="E54" s="27"/>
      <c r="F54" s="27"/>
      <c r="G54" s="27"/>
      <c r="H54" s="27"/>
      <c r="I54" s="27"/>
      <c r="J54" s="27"/>
      <c r="K54" s="50"/>
      <c r="L54" s="27"/>
      <c r="M54" s="28"/>
      <c r="N54" s="28"/>
      <c r="O54" s="28"/>
      <c r="P54" s="26" t="str">
        <f aca="false">IF($C54="","",IF(OR($L54="Closed",$L54="Cancelled"),0,MAX(0,$M54-$O54)))</f>
        <v/>
      </c>
      <c r="Q54" s="45" t="str">
        <f aca="true">IF(OR($C54="",$L54="Closed",$L54="Cancelled",$L54="Invoiced"),"",MAX(0,TODAY()-$C54))</f>
        <v/>
      </c>
      <c r="R54" s="50"/>
      <c r="S54" s="47" t="str">
        <f aca="true">IF($C54="","",IF(AND($O54&gt;0,$O54&gt;$M54),"Invoice over PO - check",IF(AND($J54="Pending approval",TODAY()-$C54&gt;AlertDays),"Approval waiting",IF(AND($R54&lt;&gt;"",$R54&lt;TODAY(),OR($L54="Open",$L54="Partially received")),"Delivery overdue",""))))</f>
        <v/>
      </c>
      <c r="T54" s="27"/>
      <c r="U54" s="50"/>
      <c r="V54" s="27"/>
      <c r="W54" s="27"/>
      <c r="X54" s="48" t="str">
        <f aca="false">IF(OR($U54="",$C54=""),"",$U54+IF($V54="",TermsDays,$V54))</f>
        <v/>
      </c>
      <c r="Y54" s="27"/>
      <c r="Z54" s="49" t="str">
        <f aca="false">IF($L54="Invoiced",COUNTIF($L$6:$L54,"Invoiced"),"")</f>
        <v/>
      </c>
    </row>
    <row r="55" customFormat="false" ht="15" hidden="false" customHeight="false" outlineLevel="0" collapsed="false">
      <c r="A55" s="45" t="str">
        <f aca="false">IF($C55="","",POStart+COUNTA($C$6:$C55)-1)</f>
        <v/>
      </c>
      <c r="B55" s="45" t="str">
        <f aca="false">IF($A55="","",POPrefix&amp;$A55)</f>
        <v/>
      </c>
      <c r="C55" s="50"/>
      <c r="D55" s="27"/>
      <c r="E55" s="27"/>
      <c r="F55" s="27"/>
      <c r="G55" s="27"/>
      <c r="H55" s="27"/>
      <c r="I55" s="27"/>
      <c r="J55" s="27"/>
      <c r="K55" s="50"/>
      <c r="L55" s="27"/>
      <c r="M55" s="28"/>
      <c r="N55" s="28"/>
      <c r="O55" s="28"/>
      <c r="P55" s="26" t="str">
        <f aca="false">IF($C55="","",IF(OR($L55="Closed",$L55="Cancelled"),0,MAX(0,$M55-$O55)))</f>
        <v/>
      </c>
      <c r="Q55" s="45" t="str">
        <f aca="true">IF(OR($C55="",$L55="Closed",$L55="Cancelled",$L55="Invoiced"),"",MAX(0,TODAY()-$C55))</f>
        <v/>
      </c>
      <c r="R55" s="50"/>
      <c r="S55" s="47" t="str">
        <f aca="true">IF($C55="","",IF(AND($O55&gt;0,$O55&gt;$M55),"Invoice over PO - check",IF(AND($J55="Pending approval",TODAY()-$C55&gt;AlertDays),"Approval waiting",IF(AND($R55&lt;&gt;"",$R55&lt;TODAY(),OR($L55="Open",$L55="Partially received")),"Delivery overdue",""))))</f>
        <v/>
      </c>
      <c r="T55" s="27"/>
      <c r="U55" s="50"/>
      <c r="V55" s="27"/>
      <c r="W55" s="27"/>
      <c r="X55" s="48" t="str">
        <f aca="false">IF(OR($U55="",$C55=""),"",$U55+IF($V55="",TermsDays,$V55))</f>
        <v/>
      </c>
      <c r="Y55" s="27"/>
      <c r="Z55" s="49" t="str">
        <f aca="false">IF($L55="Invoiced",COUNTIF($L$6:$L55,"Invoiced"),"")</f>
        <v/>
      </c>
    </row>
    <row r="56" customFormat="false" ht="15" hidden="false" customHeight="false" outlineLevel="0" collapsed="false">
      <c r="A56" s="45" t="str">
        <f aca="false">IF($C56="","",POStart+COUNTA($C$6:$C56)-1)</f>
        <v/>
      </c>
      <c r="B56" s="45" t="str">
        <f aca="false">IF($A56="","",POPrefix&amp;$A56)</f>
        <v/>
      </c>
      <c r="C56" s="50"/>
      <c r="D56" s="27"/>
      <c r="E56" s="27"/>
      <c r="F56" s="27"/>
      <c r="G56" s="27"/>
      <c r="H56" s="27"/>
      <c r="I56" s="27"/>
      <c r="J56" s="27"/>
      <c r="K56" s="50"/>
      <c r="L56" s="27"/>
      <c r="M56" s="28"/>
      <c r="N56" s="28"/>
      <c r="O56" s="28"/>
      <c r="P56" s="26" t="str">
        <f aca="false">IF($C56="","",IF(OR($L56="Closed",$L56="Cancelled"),0,MAX(0,$M56-$O56)))</f>
        <v/>
      </c>
      <c r="Q56" s="45" t="str">
        <f aca="true">IF(OR($C56="",$L56="Closed",$L56="Cancelled",$L56="Invoiced"),"",MAX(0,TODAY()-$C56))</f>
        <v/>
      </c>
      <c r="R56" s="50"/>
      <c r="S56" s="47" t="str">
        <f aca="true">IF($C56="","",IF(AND($O56&gt;0,$O56&gt;$M56),"Invoice over PO - check",IF(AND($J56="Pending approval",TODAY()-$C56&gt;AlertDays),"Approval waiting",IF(AND($R56&lt;&gt;"",$R56&lt;TODAY(),OR($L56="Open",$L56="Partially received")),"Delivery overdue",""))))</f>
        <v/>
      </c>
      <c r="T56" s="27"/>
      <c r="U56" s="50"/>
      <c r="V56" s="27"/>
      <c r="W56" s="27"/>
      <c r="X56" s="48" t="str">
        <f aca="false">IF(OR($U56="",$C56=""),"",$U56+IF($V56="",TermsDays,$V56))</f>
        <v/>
      </c>
      <c r="Y56" s="27"/>
      <c r="Z56" s="49" t="str">
        <f aca="false">IF($L56="Invoiced",COUNTIF($L$6:$L56,"Invoiced"),"")</f>
        <v/>
      </c>
    </row>
    <row r="57" customFormat="false" ht="15" hidden="false" customHeight="false" outlineLevel="0" collapsed="false">
      <c r="A57" s="45" t="str">
        <f aca="false">IF($C57="","",POStart+COUNTA($C$6:$C57)-1)</f>
        <v/>
      </c>
      <c r="B57" s="45" t="str">
        <f aca="false">IF($A57="","",POPrefix&amp;$A57)</f>
        <v/>
      </c>
      <c r="C57" s="50"/>
      <c r="D57" s="27"/>
      <c r="E57" s="27"/>
      <c r="F57" s="27"/>
      <c r="G57" s="27"/>
      <c r="H57" s="27"/>
      <c r="I57" s="27"/>
      <c r="J57" s="27"/>
      <c r="K57" s="50"/>
      <c r="L57" s="27"/>
      <c r="M57" s="28"/>
      <c r="N57" s="28"/>
      <c r="O57" s="28"/>
      <c r="P57" s="26" t="str">
        <f aca="false">IF($C57="","",IF(OR($L57="Closed",$L57="Cancelled"),0,MAX(0,$M57-$O57)))</f>
        <v/>
      </c>
      <c r="Q57" s="45" t="str">
        <f aca="true">IF(OR($C57="",$L57="Closed",$L57="Cancelled",$L57="Invoiced"),"",MAX(0,TODAY()-$C57))</f>
        <v/>
      </c>
      <c r="R57" s="50"/>
      <c r="S57" s="47" t="str">
        <f aca="true">IF($C57="","",IF(AND($O57&gt;0,$O57&gt;$M57),"Invoice over PO - check",IF(AND($J57="Pending approval",TODAY()-$C57&gt;AlertDays),"Approval waiting",IF(AND($R57&lt;&gt;"",$R57&lt;TODAY(),OR($L57="Open",$L57="Partially received")),"Delivery overdue",""))))</f>
        <v/>
      </c>
      <c r="T57" s="27"/>
      <c r="U57" s="50"/>
      <c r="V57" s="27"/>
      <c r="W57" s="27"/>
      <c r="X57" s="48" t="str">
        <f aca="false">IF(OR($U57="",$C57=""),"",$U57+IF($V57="",TermsDays,$V57))</f>
        <v/>
      </c>
      <c r="Y57" s="27"/>
      <c r="Z57" s="49" t="str">
        <f aca="false">IF($L57="Invoiced",COUNTIF($L$6:$L57,"Invoiced"),"")</f>
        <v/>
      </c>
    </row>
    <row r="58" customFormat="false" ht="15" hidden="false" customHeight="false" outlineLevel="0" collapsed="false">
      <c r="A58" s="45" t="str">
        <f aca="false">IF($C58="","",POStart+COUNTA($C$6:$C58)-1)</f>
        <v/>
      </c>
      <c r="B58" s="45" t="str">
        <f aca="false">IF($A58="","",POPrefix&amp;$A58)</f>
        <v/>
      </c>
      <c r="C58" s="50"/>
      <c r="D58" s="27"/>
      <c r="E58" s="27"/>
      <c r="F58" s="27"/>
      <c r="G58" s="27"/>
      <c r="H58" s="27"/>
      <c r="I58" s="27"/>
      <c r="J58" s="27"/>
      <c r="K58" s="50"/>
      <c r="L58" s="27"/>
      <c r="M58" s="28"/>
      <c r="N58" s="28"/>
      <c r="O58" s="28"/>
      <c r="P58" s="26" t="str">
        <f aca="false">IF($C58="","",IF(OR($L58="Closed",$L58="Cancelled"),0,MAX(0,$M58-$O58)))</f>
        <v/>
      </c>
      <c r="Q58" s="45" t="str">
        <f aca="true">IF(OR($C58="",$L58="Closed",$L58="Cancelled",$L58="Invoiced"),"",MAX(0,TODAY()-$C58))</f>
        <v/>
      </c>
      <c r="R58" s="50"/>
      <c r="S58" s="47" t="str">
        <f aca="true">IF($C58="","",IF(AND($O58&gt;0,$O58&gt;$M58),"Invoice over PO - check",IF(AND($J58="Pending approval",TODAY()-$C58&gt;AlertDays),"Approval waiting",IF(AND($R58&lt;&gt;"",$R58&lt;TODAY(),OR($L58="Open",$L58="Partially received")),"Delivery overdue",""))))</f>
        <v/>
      </c>
      <c r="T58" s="27"/>
      <c r="U58" s="50"/>
      <c r="V58" s="27"/>
      <c r="W58" s="27"/>
      <c r="X58" s="48" t="str">
        <f aca="false">IF(OR($U58="",$C58=""),"",$U58+IF($V58="",TermsDays,$V58))</f>
        <v/>
      </c>
      <c r="Y58" s="27"/>
      <c r="Z58" s="49" t="str">
        <f aca="false">IF($L58="Invoiced",COUNTIF($L$6:$L58,"Invoiced"),"")</f>
        <v/>
      </c>
    </row>
    <row r="59" customFormat="false" ht="15" hidden="false" customHeight="false" outlineLevel="0" collapsed="false">
      <c r="A59" s="45" t="str">
        <f aca="false">IF($C59="","",POStart+COUNTA($C$6:$C59)-1)</f>
        <v/>
      </c>
      <c r="B59" s="45" t="str">
        <f aca="false">IF($A59="","",POPrefix&amp;$A59)</f>
        <v/>
      </c>
      <c r="C59" s="50"/>
      <c r="D59" s="27"/>
      <c r="E59" s="27"/>
      <c r="F59" s="27"/>
      <c r="G59" s="27"/>
      <c r="H59" s="27"/>
      <c r="I59" s="27"/>
      <c r="J59" s="27"/>
      <c r="K59" s="50"/>
      <c r="L59" s="27"/>
      <c r="M59" s="28"/>
      <c r="N59" s="28"/>
      <c r="O59" s="28"/>
      <c r="P59" s="26" t="str">
        <f aca="false">IF($C59="","",IF(OR($L59="Closed",$L59="Cancelled"),0,MAX(0,$M59-$O59)))</f>
        <v/>
      </c>
      <c r="Q59" s="45" t="str">
        <f aca="true">IF(OR($C59="",$L59="Closed",$L59="Cancelled",$L59="Invoiced"),"",MAX(0,TODAY()-$C59))</f>
        <v/>
      </c>
      <c r="R59" s="50"/>
      <c r="S59" s="47" t="str">
        <f aca="true">IF($C59="","",IF(AND($O59&gt;0,$O59&gt;$M59),"Invoice over PO - check",IF(AND($J59="Pending approval",TODAY()-$C59&gt;AlertDays),"Approval waiting",IF(AND($R59&lt;&gt;"",$R59&lt;TODAY(),OR($L59="Open",$L59="Partially received")),"Delivery overdue",""))))</f>
        <v/>
      </c>
      <c r="T59" s="27"/>
      <c r="U59" s="50"/>
      <c r="V59" s="27"/>
      <c r="W59" s="27"/>
      <c r="X59" s="48" t="str">
        <f aca="false">IF(OR($U59="",$C59=""),"",$U59+IF($V59="",TermsDays,$V59))</f>
        <v/>
      </c>
      <c r="Y59" s="27"/>
      <c r="Z59" s="49" t="str">
        <f aca="false">IF($L59="Invoiced",COUNTIF($L$6:$L59,"Invoiced"),"")</f>
        <v/>
      </c>
    </row>
    <row r="60" customFormat="false" ht="15" hidden="false" customHeight="false" outlineLevel="0" collapsed="false">
      <c r="A60" s="45" t="str">
        <f aca="false">IF($C60="","",POStart+COUNTA($C$6:$C60)-1)</f>
        <v/>
      </c>
      <c r="B60" s="45" t="str">
        <f aca="false">IF($A60="","",POPrefix&amp;$A60)</f>
        <v/>
      </c>
      <c r="C60" s="50"/>
      <c r="D60" s="27"/>
      <c r="E60" s="27"/>
      <c r="F60" s="27"/>
      <c r="G60" s="27"/>
      <c r="H60" s="27"/>
      <c r="I60" s="27"/>
      <c r="J60" s="27"/>
      <c r="K60" s="50"/>
      <c r="L60" s="27"/>
      <c r="M60" s="28"/>
      <c r="N60" s="28"/>
      <c r="O60" s="28"/>
      <c r="P60" s="26" t="str">
        <f aca="false">IF($C60="","",IF(OR($L60="Closed",$L60="Cancelled"),0,MAX(0,$M60-$O60)))</f>
        <v/>
      </c>
      <c r="Q60" s="45" t="str">
        <f aca="true">IF(OR($C60="",$L60="Closed",$L60="Cancelled",$L60="Invoiced"),"",MAX(0,TODAY()-$C60))</f>
        <v/>
      </c>
      <c r="R60" s="50"/>
      <c r="S60" s="47" t="str">
        <f aca="true">IF($C60="","",IF(AND($O60&gt;0,$O60&gt;$M60),"Invoice over PO - check",IF(AND($J60="Pending approval",TODAY()-$C60&gt;AlertDays),"Approval waiting",IF(AND($R60&lt;&gt;"",$R60&lt;TODAY(),OR($L60="Open",$L60="Partially received")),"Delivery overdue",""))))</f>
        <v/>
      </c>
      <c r="T60" s="27"/>
      <c r="U60" s="50"/>
      <c r="V60" s="27"/>
      <c r="W60" s="27"/>
      <c r="X60" s="48" t="str">
        <f aca="false">IF(OR($U60="",$C60=""),"",$U60+IF($V60="",TermsDays,$V60))</f>
        <v/>
      </c>
      <c r="Y60" s="27"/>
      <c r="Z60" s="49" t="str">
        <f aca="false">IF($L60="Invoiced",COUNTIF($L$6:$L60,"Invoiced"),"")</f>
        <v/>
      </c>
    </row>
    <row r="61" customFormat="false" ht="15" hidden="false" customHeight="false" outlineLevel="0" collapsed="false">
      <c r="A61" s="45" t="str">
        <f aca="false">IF($C61="","",POStart+COUNTA($C$6:$C61)-1)</f>
        <v/>
      </c>
      <c r="B61" s="45" t="str">
        <f aca="false">IF($A61="","",POPrefix&amp;$A61)</f>
        <v/>
      </c>
      <c r="C61" s="50"/>
      <c r="D61" s="27"/>
      <c r="E61" s="27"/>
      <c r="F61" s="27"/>
      <c r="G61" s="27"/>
      <c r="H61" s="27"/>
      <c r="I61" s="27"/>
      <c r="J61" s="27"/>
      <c r="K61" s="50"/>
      <c r="L61" s="27"/>
      <c r="M61" s="28"/>
      <c r="N61" s="28"/>
      <c r="O61" s="28"/>
      <c r="P61" s="26" t="str">
        <f aca="false">IF($C61="","",IF(OR($L61="Closed",$L61="Cancelled"),0,MAX(0,$M61-$O61)))</f>
        <v/>
      </c>
      <c r="Q61" s="45" t="str">
        <f aca="true">IF(OR($C61="",$L61="Closed",$L61="Cancelled",$L61="Invoiced"),"",MAX(0,TODAY()-$C61))</f>
        <v/>
      </c>
      <c r="R61" s="50"/>
      <c r="S61" s="47" t="str">
        <f aca="true">IF($C61="","",IF(AND($O61&gt;0,$O61&gt;$M61),"Invoice over PO - check",IF(AND($J61="Pending approval",TODAY()-$C61&gt;AlertDays),"Approval waiting",IF(AND($R61&lt;&gt;"",$R61&lt;TODAY(),OR($L61="Open",$L61="Partially received")),"Delivery overdue",""))))</f>
        <v/>
      </c>
      <c r="T61" s="27"/>
      <c r="U61" s="50"/>
      <c r="V61" s="27"/>
      <c r="W61" s="27"/>
      <c r="X61" s="48" t="str">
        <f aca="false">IF(OR($U61="",$C61=""),"",$U61+IF($V61="",TermsDays,$V61))</f>
        <v/>
      </c>
      <c r="Y61" s="27"/>
      <c r="Z61" s="49" t="str">
        <f aca="false">IF($L61="Invoiced",COUNTIF($L$6:$L61,"Invoiced"),"")</f>
        <v/>
      </c>
    </row>
    <row r="62" customFormat="false" ht="15" hidden="false" customHeight="false" outlineLevel="0" collapsed="false">
      <c r="A62" s="45" t="str">
        <f aca="false">IF($C62="","",POStart+COUNTA($C$6:$C62)-1)</f>
        <v/>
      </c>
      <c r="B62" s="45" t="str">
        <f aca="false">IF($A62="","",POPrefix&amp;$A62)</f>
        <v/>
      </c>
      <c r="C62" s="50"/>
      <c r="D62" s="27"/>
      <c r="E62" s="27"/>
      <c r="F62" s="27"/>
      <c r="G62" s="27"/>
      <c r="H62" s="27"/>
      <c r="I62" s="27"/>
      <c r="J62" s="27"/>
      <c r="K62" s="50"/>
      <c r="L62" s="27"/>
      <c r="M62" s="28"/>
      <c r="N62" s="28"/>
      <c r="O62" s="28"/>
      <c r="P62" s="26" t="str">
        <f aca="false">IF($C62="","",IF(OR($L62="Closed",$L62="Cancelled"),0,MAX(0,$M62-$O62)))</f>
        <v/>
      </c>
      <c r="Q62" s="45" t="str">
        <f aca="true">IF(OR($C62="",$L62="Closed",$L62="Cancelled",$L62="Invoiced"),"",MAX(0,TODAY()-$C62))</f>
        <v/>
      </c>
      <c r="R62" s="50"/>
      <c r="S62" s="47" t="str">
        <f aca="true">IF($C62="","",IF(AND($O62&gt;0,$O62&gt;$M62),"Invoice over PO - check",IF(AND($J62="Pending approval",TODAY()-$C62&gt;AlertDays),"Approval waiting",IF(AND($R62&lt;&gt;"",$R62&lt;TODAY(),OR($L62="Open",$L62="Partially received")),"Delivery overdue",""))))</f>
        <v/>
      </c>
      <c r="T62" s="27"/>
      <c r="U62" s="50"/>
      <c r="V62" s="27"/>
      <c r="W62" s="27"/>
      <c r="X62" s="48" t="str">
        <f aca="false">IF(OR($U62="",$C62=""),"",$U62+IF($V62="",TermsDays,$V62))</f>
        <v/>
      </c>
      <c r="Y62" s="27"/>
      <c r="Z62" s="49" t="str">
        <f aca="false">IF($L62="Invoiced",COUNTIF($L$6:$L62,"Invoiced"),"")</f>
        <v/>
      </c>
    </row>
    <row r="63" customFormat="false" ht="15" hidden="false" customHeight="false" outlineLevel="0" collapsed="false">
      <c r="A63" s="45" t="str">
        <f aca="false">IF($C63="","",POStart+COUNTA($C$6:$C63)-1)</f>
        <v/>
      </c>
      <c r="B63" s="45" t="str">
        <f aca="false">IF($A63="","",POPrefix&amp;$A63)</f>
        <v/>
      </c>
      <c r="C63" s="50"/>
      <c r="D63" s="27"/>
      <c r="E63" s="27"/>
      <c r="F63" s="27"/>
      <c r="G63" s="27"/>
      <c r="H63" s="27"/>
      <c r="I63" s="27"/>
      <c r="J63" s="27"/>
      <c r="K63" s="50"/>
      <c r="L63" s="27"/>
      <c r="M63" s="28"/>
      <c r="N63" s="28"/>
      <c r="O63" s="28"/>
      <c r="P63" s="26" t="str">
        <f aca="false">IF($C63="","",IF(OR($L63="Closed",$L63="Cancelled"),0,MAX(0,$M63-$O63)))</f>
        <v/>
      </c>
      <c r="Q63" s="45" t="str">
        <f aca="true">IF(OR($C63="",$L63="Closed",$L63="Cancelled",$L63="Invoiced"),"",MAX(0,TODAY()-$C63))</f>
        <v/>
      </c>
      <c r="R63" s="50"/>
      <c r="S63" s="47" t="str">
        <f aca="true">IF($C63="","",IF(AND($O63&gt;0,$O63&gt;$M63),"Invoice over PO - check",IF(AND($J63="Pending approval",TODAY()-$C63&gt;AlertDays),"Approval waiting",IF(AND($R63&lt;&gt;"",$R63&lt;TODAY(),OR($L63="Open",$L63="Partially received")),"Delivery overdue",""))))</f>
        <v/>
      </c>
      <c r="T63" s="27"/>
      <c r="U63" s="50"/>
      <c r="V63" s="27"/>
      <c r="W63" s="27"/>
      <c r="X63" s="48" t="str">
        <f aca="false">IF(OR($U63="",$C63=""),"",$U63+IF($V63="",TermsDays,$V63))</f>
        <v/>
      </c>
      <c r="Y63" s="27"/>
      <c r="Z63" s="49" t="str">
        <f aca="false">IF($L63="Invoiced",COUNTIF($L$6:$L63,"Invoiced"),"")</f>
        <v/>
      </c>
    </row>
    <row r="64" customFormat="false" ht="15" hidden="false" customHeight="false" outlineLevel="0" collapsed="false">
      <c r="A64" s="45" t="str">
        <f aca="false">IF($C64="","",POStart+COUNTA($C$6:$C64)-1)</f>
        <v/>
      </c>
      <c r="B64" s="45" t="str">
        <f aca="false">IF($A64="","",POPrefix&amp;$A64)</f>
        <v/>
      </c>
      <c r="C64" s="50"/>
      <c r="D64" s="27"/>
      <c r="E64" s="27"/>
      <c r="F64" s="27"/>
      <c r="G64" s="27"/>
      <c r="H64" s="27"/>
      <c r="I64" s="27"/>
      <c r="J64" s="27"/>
      <c r="K64" s="50"/>
      <c r="L64" s="27"/>
      <c r="M64" s="28"/>
      <c r="N64" s="28"/>
      <c r="O64" s="28"/>
      <c r="P64" s="26" t="str">
        <f aca="false">IF($C64="","",IF(OR($L64="Closed",$L64="Cancelled"),0,MAX(0,$M64-$O64)))</f>
        <v/>
      </c>
      <c r="Q64" s="45" t="str">
        <f aca="true">IF(OR($C64="",$L64="Closed",$L64="Cancelled",$L64="Invoiced"),"",MAX(0,TODAY()-$C64))</f>
        <v/>
      </c>
      <c r="R64" s="50"/>
      <c r="S64" s="47" t="str">
        <f aca="true">IF($C64="","",IF(AND($O64&gt;0,$O64&gt;$M64),"Invoice over PO - check",IF(AND($J64="Pending approval",TODAY()-$C64&gt;AlertDays),"Approval waiting",IF(AND($R64&lt;&gt;"",$R64&lt;TODAY(),OR($L64="Open",$L64="Partially received")),"Delivery overdue",""))))</f>
        <v/>
      </c>
      <c r="T64" s="27"/>
      <c r="U64" s="50"/>
      <c r="V64" s="27"/>
      <c r="W64" s="27"/>
      <c r="X64" s="48" t="str">
        <f aca="false">IF(OR($U64="",$C64=""),"",$U64+IF($V64="",TermsDays,$V64))</f>
        <v/>
      </c>
      <c r="Y64" s="27"/>
      <c r="Z64" s="49" t="str">
        <f aca="false">IF($L64="Invoiced",COUNTIF($L$6:$L64,"Invoiced"),"")</f>
        <v/>
      </c>
    </row>
    <row r="65" customFormat="false" ht="15" hidden="false" customHeight="false" outlineLevel="0" collapsed="false">
      <c r="A65" s="45" t="str">
        <f aca="false">IF($C65="","",POStart+COUNTA($C$6:$C65)-1)</f>
        <v/>
      </c>
      <c r="B65" s="45" t="str">
        <f aca="false">IF($A65="","",POPrefix&amp;$A65)</f>
        <v/>
      </c>
      <c r="C65" s="50"/>
      <c r="D65" s="27"/>
      <c r="E65" s="27"/>
      <c r="F65" s="27"/>
      <c r="G65" s="27"/>
      <c r="H65" s="27"/>
      <c r="I65" s="27"/>
      <c r="J65" s="27"/>
      <c r="K65" s="50"/>
      <c r="L65" s="27"/>
      <c r="M65" s="28"/>
      <c r="N65" s="28"/>
      <c r="O65" s="28"/>
      <c r="P65" s="26" t="str">
        <f aca="false">IF($C65="","",IF(OR($L65="Closed",$L65="Cancelled"),0,MAX(0,$M65-$O65)))</f>
        <v/>
      </c>
      <c r="Q65" s="45" t="str">
        <f aca="true">IF(OR($C65="",$L65="Closed",$L65="Cancelled",$L65="Invoiced"),"",MAX(0,TODAY()-$C65))</f>
        <v/>
      </c>
      <c r="R65" s="50"/>
      <c r="S65" s="47" t="str">
        <f aca="true">IF($C65="","",IF(AND($O65&gt;0,$O65&gt;$M65),"Invoice over PO - check",IF(AND($J65="Pending approval",TODAY()-$C65&gt;AlertDays),"Approval waiting",IF(AND($R65&lt;&gt;"",$R65&lt;TODAY(),OR($L65="Open",$L65="Partially received")),"Delivery overdue",""))))</f>
        <v/>
      </c>
      <c r="T65" s="27"/>
      <c r="U65" s="50"/>
      <c r="V65" s="27"/>
      <c r="W65" s="27"/>
      <c r="X65" s="48" t="str">
        <f aca="false">IF(OR($U65="",$C65=""),"",$U65+IF($V65="",TermsDays,$V65))</f>
        <v/>
      </c>
      <c r="Y65" s="27"/>
      <c r="Z65" s="49" t="str">
        <f aca="false">IF($L65="Invoiced",COUNTIF($L$6:$L65,"Invoiced"),"")</f>
        <v/>
      </c>
    </row>
    <row r="66" customFormat="false" ht="15" hidden="false" customHeight="false" outlineLevel="0" collapsed="false">
      <c r="A66" s="45" t="str">
        <f aca="false">IF($C66="","",POStart+COUNTA($C$6:$C66)-1)</f>
        <v/>
      </c>
      <c r="B66" s="45" t="str">
        <f aca="false">IF($A66="","",POPrefix&amp;$A66)</f>
        <v/>
      </c>
      <c r="C66" s="50"/>
      <c r="D66" s="27"/>
      <c r="E66" s="27"/>
      <c r="F66" s="27"/>
      <c r="G66" s="27"/>
      <c r="H66" s="27"/>
      <c r="I66" s="27"/>
      <c r="J66" s="27"/>
      <c r="K66" s="50"/>
      <c r="L66" s="27"/>
      <c r="M66" s="28"/>
      <c r="N66" s="28"/>
      <c r="O66" s="28"/>
      <c r="P66" s="26" t="str">
        <f aca="false">IF($C66="","",IF(OR($L66="Closed",$L66="Cancelled"),0,MAX(0,$M66-$O66)))</f>
        <v/>
      </c>
      <c r="Q66" s="45" t="str">
        <f aca="true">IF(OR($C66="",$L66="Closed",$L66="Cancelled",$L66="Invoiced"),"",MAX(0,TODAY()-$C66))</f>
        <v/>
      </c>
      <c r="R66" s="50"/>
      <c r="S66" s="47" t="str">
        <f aca="true">IF($C66="","",IF(AND($O66&gt;0,$O66&gt;$M66),"Invoice over PO - check",IF(AND($J66="Pending approval",TODAY()-$C66&gt;AlertDays),"Approval waiting",IF(AND($R66&lt;&gt;"",$R66&lt;TODAY(),OR($L66="Open",$L66="Partially received")),"Delivery overdue",""))))</f>
        <v/>
      </c>
      <c r="T66" s="27"/>
      <c r="U66" s="50"/>
      <c r="V66" s="27"/>
      <c r="W66" s="27"/>
      <c r="X66" s="48" t="str">
        <f aca="false">IF(OR($U66="",$C66=""),"",$U66+IF($V66="",TermsDays,$V66))</f>
        <v/>
      </c>
      <c r="Y66" s="27"/>
      <c r="Z66" s="49" t="str">
        <f aca="false">IF($L66="Invoiced",COUNTIF($L$6:$L66,"Invoiced"),"")</f>
        <v/>
      </c>
    </row>
    <row r="67" customFormat="false" ht="15" hidden="false" customHeight="false" outlineLevel="0" collapsed="false">
      <c r="A67" s="45" t="str">
        <f aca="false">IF($C67="","",POStart+COUNTA($C$6:$C67)-1)</f>
        <v/>
      </c>
      <c r="B67" s="45" t="str">
        <f aca="false">IF($A67="","",POPrefix&amp;$A67)</f>
        <v/>
      </c>
      <c r="C67" s="50"/>
      <c r="D67" s="27"/>
      <c r="E67" s="27"/>
      <c r="F67" s="27"/>
      <c r="G67" s="27"/>
      <c r="H67" s="27"/>
      <c r="I67" s="27"/>
      <c r="J67" s="27"/>
      <c r="K67" s="50"/>
      <c r="L67" s="27"/>
      <c r="M67" s="28"/>
      <c r="N67" s="28"/>
      <c r="O67" s="28"/>
      <c r="P67" s="26" t="str">
        <f aca="false">IF($C67="","",IF(OR($L67="Closed",$L67="Cancelled"),0,MAX(0,$M67-$O67)))</f>
        <v/>
      </c>
      <c r="Q67" s="45" t="str">
        <f aca="true">IF(OR($C67="",$L67="Closed",$L67="Cancelled",$L67="Invoiced"),"",MAX(0,TODAY()-$C67))</f>
        <v/>
      </c>
      <c r="R67" s="50"/>
      <c r="S67" s="47" t="str">
        <f aca="true">IF($C67="","",IF(AND($O67&gt;0,$O67&gt;$M67),"Invoice over PO - check",IF(AND($J67="Pending approval",TODAY()-$C67&gt;AlertDays),"Approval waiting",IF(AND($R67&lt;&gt;"",$R67&lt;TODAY(),OR($L67="Open",$L67="Partially received")),"Delivery overdue",""))))</f>
        <v/>
      </c>
      <c r="T67" s="27"/>
      <c r="U67" s="50"/>
      <c r="V67" s="27"/>
      <c r="W67" s="27"/>
      <c r="X67" s="48" t="str">
        <f aca="false">IF(OR($U67="",$C67=""),"",$U67+IF($V67="",TermsDays,$V67))</f>
        <v/>
      </c>
      <c r="Y67" s="27"/>
      <c r="Z67" s="49" t="str">
        <f aca="false">IF($L67="Invoiced",COUNTIF($L$6:$L67,"Invoiced"),"")</f>
        <v/>
      </c>
    </row>
    <row r="68" customFormat="false" ht="15" hidden="false" customHeight="false" outlineLevel="0" collapsed="false">
      <c r="A68" s="45" t="str">
        <f aca="false">IF($C68="","",POStart+COUNTA($C$6:$C68)-1)</f>
        <v/>
      </c>
      <c r="B68" s="45" t="str">
        <f aca="false">IF($A68="","",POPrefix&amp;$A68)</f>
        <v/>
      </c>
      <c r="C68" s="50"/>
      <c r="D68" s="27"/>
      <c r="E68" s="27"/>
      <c r="F68" s="27"/>
      <c r="G68" s="27"/>
      <c r="H68" s="27"/>
      <c r="I68" s="27"/>
      <c r="J68" s="27"/>
      <c r="K68" s="50"/>
      <c r="L68" s="27"/>
      <c r="M68" s="28"/>
      <c r="N68" s="28"/>
      <c r="O68" s="28"/>
      <c r="P68" s="26" t="str">
        <f aca="false">IF($C68="","",IF(OR($L68="Closed",$L68="Cancelled"),0,MAX(0,$M68-$O68)))</f>
        <v/>
      </c>
      <c r="Q68" s="45" t="str">
        <f aca="true">IF(OR($C68="",$L68="Closed",$L68="Cancelled",$L68="Invoiced"),"",MAX(0,TODAY()-$C68))</f>
        <v/>
      </c>
      <c r="R68" s="50"/>
      <c r="S68" s="47" t="str">
        <f aca="true">IF($C68="","",IF(AND($O68&gt;0,$O68&gt;$M68),"Invoice over PO - check",IF(AND($J68="Pending approval",TODAY()-$C68&gt;AlertDays),"Approval waiting",IF(AND($R68&lt;&gt;"",$R68&lt;TODAY(),OR($L68="Open",$L68="Partially received")),"Delivery overdue",""))))</f>
        <v/>
      </c>
      <c r="T68" s="27"/>
      <c r="U68" s="50"/>
      <c r="V68" s="27"/>
      <c r="W68" s="27"/>
      <c r="X68" s="48" t="str">
        <f aca="false">IF(OR($U68="",$C68=""),"",$U68+IF($V68="",TermsDays,$V68))</f>
        <v/>
      </c>
      <c r="Y68" s="27"/>
      <c r="Z68" s="49" t="str">
        <f aca="false">IF($L68="Invoiced",COUNTIF($L$6:$L68,"Invoiced"),"")</f>
        <v/>
      </c>
    </row>
    <row r="69" customFormat="false" ht="15" hidden="false" customHeight="false" outlineLevel="0" collapsed="false">
      <c r="A69" s="45" t="str">
        <f aca="false">IF($C69="","",POStart+COUNTA($C$6:$C69)-1)</f>
        <v/>
      </c>
      <c r="B69" s="45" t="str">
        <f aca="false">IF($A69="","",POPrefix&amp;$A69)</f>
        <v/>
      </c>
      <c r="C69" s="50"/>
      <c r="D69" s="27"/>
      <c r="E69" s="27"/>
      <c r="F69" s="27"/>
      <c r="G69" s="27"/>
      <c r="H69" s="27"/>
      <c r="I69" s="27"/>
      <c r="J69" s="27"/>
      <c r="K69" s="50"/>
      <c r="L69" s="27"/>
      <c r="M69" s="28"/>
      <c r="N69" s="28"/>
      <c r="O69" s="28"/>
      <c r="P69" s="26" t="str">
        <f aca="false">IF($C69="","",IF(OR($L69="Closed",$L69="Cancelled"),0,MAX(0,$M69-$O69)))</f>
        <v/>
      </c>
      <c r="Q69" s="45" t="str">
        <f aca="true">IF(OR($C69="",$L69="Closed",$L69="Cancelled",$L69="Invoiced"),"",MAX(0,TODAY()-$C69))</f>
        <v/>
      </c>
      <c r="R69" s="50"/>
      <c r="S69" s="47" t="str">
        <f aca="true">IF($C69="","",IF(AND($O69&gt;0,$O69&gt;$M69),"Invoice over PO - check",IF(AND($J69="Pending approval",TODAY()-$C69&gt;AlertDays),"Approval waiting",IF(AND($R69&lt;&gt;"",$R69&lt;TODAY(),OR($L69="Open",$L69="Partially received")),"Delivery overdue",""))))</f>
        <v/>
      </c>
      <c r="T69" s="27"/>
      <c r="U69" s="50"/>
      <c r="V69" s="27"/>
      <c r="W69" s="27"/>
      <c r="X69" s="48" t="str">
        <f aca="false">IF(OR($U69="",$C69=""),"",$U69+IF($V69="",TermsDays,$V69))</f>
        <v/>
      </c>
      <c r="Y69" s="27"/>
      <c r="Z69" s="49" t="str">
        <f aca="false">IF($L69="Invoiced",COUNTIF($L$6:$L69,"Invoiced"),"")</f>
        <v/>
      </c>
    </row>
    <row r="70" customFormat="false" ht="15" hidden="false" customHeight="false" outlineLevel="0" collapsed="false">
      <c r="A70" s="45" t="str">
        <f aca="false">IF($C70="","",POStart+COUNTA($C$6:$C70)-1)</f>
        <v/>
      </c>
      <c r="B70" s="45" t="str">
        <f aca="false">IF($A70="","",POPrefix&amp;$A70)</f>
        <v/>
      </c>
      <c r="C70" s="50"/>
      <c r="D70" s="27"/>
      <c r="E70" s="27"/>
      <c r="F70" s="27"/>
      <c r="G70" s="27"/>
      <c r="H70" s="27"/>
      <c r="I70" s="27"/>
      <c r="J70" s="27"/>
      <c r="K70" s="50"/>
      <c r="L70" s="27"/>
      <c r="M70" s="28"/>
      <c r="N70" s="28"/>
      <c r="O70" s="28"/>
      <c r="P70" s="26" t="str">
        <f aca="false">IF($C70="","",IF(OR($L70="Closed",$L70="Cancelled"),0,MAX(0,$M70-$O70)))</f>
        <v/>
      </c>
      <c r="Q70" s="45" t="str">
        <f aca="true">IF(OR($C70="",$L70="Closed",$L70="Cancelled",$L70="Invoiced"),"",MAX(0,TODAY()-$C70))</f>
        <v/>
      </c>
      <c r="R70" s="50"/>
      <c r="S70" s="47" t="str">
        <f aca="true">IF($C70="","",IF(AND($O70&gt;0,$O70&gt;$M70),"Invoice over PO - check",IF(AND($J70="Pending approval",TODAY()-$C70&gt;AlertDays),"Approval waiting",IF(AND($R70&lt;&gt;"",$R70&lt;TODAY(),OR($L70="Open",$L70="Partially received")),"Delivery overdue",""))))</f>
        <v/>
      </c>
      <c r="T70" s="27"/>
      <c r="U70" s="50"/>
      <c r="V70" s="27"/>
      <c r="W70" s="27"/>
      <c r="X70" s="48" t="str">
        <f aca="false">IF(OR($U70="",$C70=""),"",$U70+IF($V70="",TermsDays,$V70))</f>
        <v/>
      </c>
      <c r="Y70" s="27"/>
      <c r="Z70" s="49" t="str">
        <f aca="false">IF($L70="Invoiced",COUNTIF($L$6:$L70,"Invoiced"),"")</f>
        <v/>
      </c>
    </row>
    <row r="71" customFormat="false" ht="15" hidden="false" customHeight="false" outlineLevel="0" collapsed="false">
      <c r="A71" s="45" t="str">
        <f aca="false">IF($C71="","",POStart+COUNTA($C$6:$C71)-1)</f>
        <v/>
      </c>
      <c r="B71" s="45" t="str">
        <f aca="false">IF($A71="","",POPrefix&amp;$A71)</f>
        <v/>
      </c>
      <c r="C71" s="50"/>
      <c r="D71" s="27"/>
      <c r="E71" s="27"/>
      <c r="F71" s="27"/>
      <c r="G71" s="27"/>
      <c r="H71" s="27"/>
      <c r="I71" s="27"/>
      <c r="J71" s="27"/>
      <c r="K71" s="50"/>
      <c r="L71" s="27"/>
      <c r="M71" s="28"/>
      <c r="N71" s="28"/>
      <c r="O71" s="28"/>
      <c r="P71" s="26" t="str">
        <f aca="false">IF($C71="","",IF(OR($L71="Closed",$L71="Cancelled"),0,MAX(0,$M71-$O71)))</f>
        <v/>
      </c>
      <c r="Q71" s="45" t="str">
        <f aca="true">IF(OR($C71="",$L71="Closed",$L71="Cancelled",$L71="Invoiced"),"",MAX(0,TODAY()-$C71))</f>
        <v/>
      </c>
      <c r="R71" s="50"/>
      <c r="S71" s="47" t="str">
        <f aca="true">IF($C71="","",IF(AND($O71&gt;0,$O71&gt;$M71),"Invoice over PO - check",IF(AND($J71="Pending approval",TODAY()-$C71&gt;AlertDays),"Approval waiting",IF(AND($R71&lt;&gt;"",$R71&lt;TODAY(),OR($L71="Open",$L71="Partially received")),"Delivery overdue",""))))</f>
        <v/>
      </c>
      <c r="T71" s="27"/>
      <c r="U71" s="50"/>
      <c r="V71" s="27"/>
      <c r="W71" s="27"/>
      <c r="X71" s="48" t="str">
        <f aca="false">IF(OR($U71="",$C71=""),"",$U71+IF($V71="",TermsDays,$V71))</f>
        <v/>
      </c>
      <c r="Y71" s="27"/>
      <c r="Z71" s="49" t="str">
        <f aca="false">IF($L71="Invoiced",COUNTIF($L$6:$L71,"Invoiced"),"")</f>
        <v/>
      </c>
    </row>
    <row r="72" customFormat="false" ht="15" hidden="false" customHeight="false" outlineLevel="0" collapsed="false">
      <c r="A72" s="45" t="str">
        <f aca="false">IF($C72="","",POStart+COUNTA($C$6:$C72)-1)</f>
        <v/>
      </c>
      <c r="B72" s="45" t="str">
        <f aca="false">IF($A72="","",POPrefix&amp;$A72)</f>
        <v/>
      </c>
      <c r="C72" s="50"/>
      <c r="D72" s="27"/>
      <c r="E72" s="27"/>
      <c r="F72" s="27"/>
      <c r="G72" s="27"/>
      <c r="H72" s="27"/>
      <c r="I72" s="27"/>
      <c r="J72" s="27"/>
      <c r="K72" s="50"/>
      <c r="L72" s="27"/>
      <c r="M72" s="28"/>
      <c r="N72" s="28"/>
      <c r="O72" s="28"/>
      <c r="P72" s="26" t="str">
        <f aca="false">IF($C72="","",IF(OR($L72="Closed",$L72="Cancelled"),0,MAX(0,$M72-$O72)))</f>
        <v/>
      </c>
      <c r="Q72" s="45" t="str">
        <f aca="true">IF(OR($C72="",$L72="Closed",$L72="Cancelled",$L72="Invoiced"),"",MAX(0,TODAY()-$C72))</f>
        <v/>
      </c>
      <c r="R72" s="50"/>
      <c r="S72" s="47" t="str">
        <f aca="true">IF($C72="","",IF(AND($O72&gt;0,$O72&gt;$M72),"Invoice over PO - check",IF(AND($J72="Pending approval",TODAY()-$C72&gt;AlertDays),"Approval waiting",IF(AND($R72&lt;&gt;"",$R72&lt;TODAY(),OR($L72="Open",$L72="Partially received")),"Delivery overdue",""))))</f>
        <v/>
      </c>
      <c r="T72" s="27"/>
      <c r="U72" s="50"/>
      <c r="V72" s="27"/>
      <c r="W72" s="27"/>
      <c r="X72" s="48" t="str">
        <f aca="false">IF(OR($U72="",$C72=""),"",$U72+IF($V72="",TermsDays,$V72))</f>
        <v/>
      </c>
      <c r="Y72" s="27"/>
      <c r="Z72" s="49" t="str">
        <f aca="false">IF($L72="Invoiced",COUNTIF($L$6:$L72,"Invoiced"),"")</f>
        <v/>
      </c>
    </row>
    <row r="73" customFormat="false" ht="15" hidden="false" customHeight="false" outlineLevel="0" collapsed="false">
      <c r="A73" s="45" t="str">
        <f aca="false">IF($C73="","",POStart+COUNTA($C$6:$C73)-1)</f>
        <v/>
      </c>
      <c r="B73" s="45" t="str">
        <f aca="false">IF($A73="","",POPrefix&amp;$A73)</f>
        <v/>
      </c>
      <c r="C73" s="50"/>
      <c r="D73" s="27"/>
      <c r="E73" s="27"/>
      <c r="F73" s="27"/>
      <c r="G73" s="27"/>
      <c r="H73" s="27"/>
      <c r="I73" s="27"/>
      <c r="J73" s="27"/>
      <c r="K73" s="50"/>
      <c r="L73" s="27"/>
      <c r="M73" s="28"/>
      <c r="N73" s="28"/>
      <c r="O73" s="28"/>
      <c r="P73" s="26" t="str">
        <f aca="false">IF($C73="","",IF(OR($L73="Closed",$L73="Cancelled"),0,MAX(0,$M73-$O73)))</f>
        <v/>
      </c>
      <c r="Q73" s="45" t="str">
        <f aca="true">IF(OR($C73="",$L73="Closed",$L73="Cancelled",$L73="Invoiced"),"",MAX(0,TODAY()-$C73))</f>
        <v/>
      </c>
      <c r="R73" s="50"/>
      <c r="S73" s="47" t="str">
        <f aca="true">IF($C73="","",IF(AND($O73&gt;0,$O73&gt;$M73),"Invoice over PO - check",IF(AND($J73="Pending approval",TODAY()-$C73&gt;AlertDays),"Approval waiting",IF(AND($R73&lt;&gt;"",$R73&lt;TODAY(),OR($L73="Open",$L73="Partially received")),"Delivery overdue",""))))</f>
        <v/>
      </c>
      <c r="T73" s="27"/>
      <c r="U73" s="50"/>
      <c r="V73" s="27"/>
      <c r="W73" s="27"/>
      <c r="X73" s="48" t="str">
        <f aca="false">IF(OR($U73="",$C73=""),"",$U73+IF($V73="",TermsDays,$V73))</f>
        <v/>
      </c>
      <c r="Y73" s="27"/>
      <c r="Z73" s="49" t="str">
        <f aca="false">IF($L73="Invoiced",COUNTIF($L$6:$L73,"Invoiced"),"")</f>
        <v/>
      </c>
    </row>
    <row r="74" customFormat="false" ht="15" hidden="false" customHeight="false" outlineLevel="0" collapsed="false">
      <c r="A74" s="45" t="str">
        <f aca="false">IF($C74="","",POStart+COUNTA($C$6:$C74)-1)</f>
        <v/>
      </c>
      <c r="B74" s="45" t="str">
        <f aca="false">IF($A74="","",POPrefix&amp;$A74)</f>
        <v/>
      </c>
      <c r="C74" s="50"/>
      <c r="D74" s="27"/>
      <c r="E74" s="27"/>
      <c r="F74" s="27"/>
      <c r="G74" s="27"/>
      <c r="H74" s="27"/>
      <c r="I74" s="27"/>
      <c r="J74" s="27"/>
      <c r="K74" s="50"/>
      <c r="L74" s="27"/>
      <c r="M74" s="28"/>
      <c r="N74" s="28"/>
      <c r="O74" s="28"/>
      <c r="P74" s="26" t="str">
        <f aca="false">IF($C74="","",IF(OR($L74="Closed",$L74="Cancelled"),0,MAX(0,$M74-$O74)))</f>
        <v/>
      </c>
      <c r="Q74" s="45" t="str">
        <f aca="true">IF(OR($C74="",$L74="Closed",$L74="Cancelled",$L74="Invoiced"),"",MAX(0,TODAY()-$C74))</f>
        <v/>
      </c>
      <c r="R74" s="50"/>
      <c r="S74" s="47" t="str">
        <f aca="true">IF($C74="","",IF(AND($O74&gt;0,$O74&gt;$M74),"Invoice over PO - check",IF(AND($J74="Pending approval",TODAY()-$C74&gt;AlertDays),"Approval waiting",IF(AND($R74&lt;&gt;"",$R74&lt;TODAY(),OR($L74="Open",$L74="Partially received")),"Delivery overdue",""))))</f>
        <v/>
      </c>
      <c r="T74" s="27"/>
      <c r="U74" s="50"/>
      <c r="V74" s="27"/>
      <c r="W74" s="27"/>
      <c r="X74" s="48" t="str">
        <f aca="false">IF(OR($U74="",$C74=""),"",$U74+IF($V74="",TermsDays,$V74))</f>
        <v/>
      </c>
      <c r="Y74" s="27"/>
      <c r="Z74" s="49" t="str">
        <f aca="false">IF($L74="Invoiced",COUNTIF($L$6:$L74,"Invoiced"),"")</f>
        <v/>
      </c>
    </row>
    <row r="75" customFormat="false" ht="15" hidden="false" customHeight="false" outlineLevel="0" collapsed="false">
      <c r="A75" s="45" t="str">
        <f aca="false">IF($C75="","",POStart+COUNTA($C$6:$C75)-1)</f>
        <v/>
      </c>
      <c r="B75" s="45" t="str">
        <f aca="false">IF($A75="","",POPrefix&amp;$A75)</f>
        <v/>
      </c>
      <c r="C75" s="50"/>
      <c r="D75" s="27"/>
      <c r="E75" s="27"/>
      <c r="F75" s="27"/>
      <c r="G75" s="27"/>
      <c r="H75" s="27"/>
      <c r="I75" s="27"/>
      <c r="J75" s="27"/>
      <c r="K75" s="50"/>
      <c r="L75" s="27"/>
      <c r="M75" s="28"/>
      <c r="N75" s="28"/>
      <c r="O75" s="28"/>
      <c r="P75" s="26" t="str">
        <f aca="false">IF($C75="","",IF(OR($L75="Closed",$L75="Cancelled"),0,MAX(0,$M75-$O75)))</f>
        <v/>
      </c>
      <c r="Q75" s="45" t="str">
        <f aca="true">IF(OR($C75="",$L75="Closed",$L75="Cancelled",$L75="Invoiced"),"",MAX(0,TODAY()-$C75))</f>
        <v/>
      </c>
      <c r="R75" s="50"/>
      <c r="S75" s="47" t="str">
        <f aca="true">IF($C75="","",IF(AND($O75&gt;0,$O75&gt;$M75),"Invoice over PO - check",IF(AND($J75="Pending approval",TODAY()-$C75&gt;AlertDays),"Approval waiting",IF(AND($R75&lt;&gt;"",$R75&lt;TODAY(),OR($L75="Open",$L75="Partially received")),"Delivery overdue",""))))</f>
        <v/>
      </c>
      <c r="T75" s="27"/>
      <c r="U75" s="50"/>
      <c r="V75" s="27"/>
      <c r="W75" s="27"/>
      <c r="X75" s="48" t="str">
        <f aca="false">IF(OR($U75="",$C75=""),"",$U75+IF($V75="",TermsDays,$V75))</f>
        <v/>
      </c>
      <c r="Y75" s="27"/>
      <c r="Z75" s="49" t="str">
        <f aca="false">IF($L75="Invoiced",COUNTIF($L$6:$L75,"Invoiced"),"")</f>
        <v/>
      </c>
    </row>
    <row r="76" customFormat="false" ht="15" hidden="false" customHeight="false" outlineLevel="0" collapsed="false">
      <c r="A76" s="45" t="str">
        <f aca="false">IF($C76="","",POStart+COUNTA($C$6:$C76)-1)</f>
        <v/>
      </c>
      <c r="B76" s="45" t="str">
        <f aca="false">IF($A76="","",POPrefix&amp;$A76)</f>
        <v/>
      </c>
      <c r="C76" s="50"/>
      <c r="D76" s="27"/>
      <c r="E76" s="27"/>
      <c r="F76" s="27"/>
      <c r="G76" s="27"/>
      <c r="H76" s="27"/>
      <c r="I76" s="27"/>
      <c r="J76" s="27"/>
      <c r="K76" s="50"/>
      <c r="L76" s="27"/>
      <c r="M76" s="28"/>
      <c r="N76" s="28"/>
      <c r="O76" s="28"/>
      <c r="P76" s="26" t="str">
        <f aca="false">IF($C76="","",IF(OR($L76="Closed",$L76="Cancelled"),0,MAX(0,$M76-$O76)))</f>
        <v/>
      </c>
      <c r="Q76" s="45" t="str">
        <f aca="true">IF(OR($C76="",$L76="Closed",$L76="Cancelled",$L76="Invoiced"),"",MAX(0,TODAY()-$C76))</f>
        <v/>
      </c>
      <c r="R76" s="50"/>
      <c r="S76" s="47" t="str">
        <f aca="true">IF($C76="","",IF(AND($O76&gt;0,$O76&gt;$M76),"Invoice over PO - check",IF(AND($J76="Pending approval",TODAY()-$C76&gt;AlertDays),"Approval waiting",IF(AND($R76&lt;&gt;"",$R76&lt;TODAY(),OR($L76="Open",$L76="Partially received")),"Delivery overdue",""))))</f>
        <v/>
      </c>
      <c r="T76" s="27"/>
      <c r="U76" s="50"/>
      <c r="V76" s="27"/>
      <c r="W76" s="27"/>
      <c r="X76" s="48" t="str">
        <f aca="false">IF(OR($U76="",$C76=""),"",$U76+IF($V76="",TermsDays,$V76))</f>
        <v/>
      </c>
      <c r="Y76" s="27"/>
      <c r="Z76" s="49" t="str">
        <f aca="false">IF($L76="Invoiced",COUNTIF($L$6:$L76,"Invoiced"),"")</f>
        <v/>
      </c>
    </row>
    <row r="77" customFormat="false" ht="15" hidden="false" customHeight="false" outlineLevel="0" collapsed="false">
      <c r="A77" s="45" t="str">
        <f aca="false">IF($C77="","",POStart+COUNTA($C$6:$C77)-1)</f>
        <v/>
      </c>
      <c r="B77" s="45" t="str">
        <f aca="false">IF($A77="","",POPrefix&amp;$A77)</f>
        <v/>
      </c>
      <c r="C77" s="50"/>
      <c r="D77" s="27"/>
      <c r="E77" s="27"/>
      <c r="F77" s="27"/>
      <c r="G77" s="27"/>
      <c r="H77" s="27"/>
      <c r="I77" s="27"/>
      <c r="J77" s="27"/>
      <c r="K77" s="50"/>
      <c r="L77" s="27"/>
      <c r="M77" s="28"/>
      <c r="N77" s="28"/>
      <c r="O77" s="28"/>
      <c r="P77" s="26" t="str">
        <f aca="false">IF($C77="","",IF(OR($L77="Closed",$L77="Cancelled"),0,MAX(0,$M77-$O77)))</f>
        <v/>
      </c>
      <c r="Q77" s="45" t="str">
        <f aca="true">IF(OR($C77="",$L77="Closed",$L77="Cancelled",$L77="Invoiced"),"",MAX(0,TODAY()-$C77))</f>
        <v/>
      </c>
      <c r="R77" s="50"/>
      <c r="S77" s="47" t="str">
        <f aca="true">IF($C77="","",IF(AND($O77&gt;0,$O77&gt;$M77),"Invoice over PO - check",IF(AND($J77="Pending approval",TODAY()-$C77&gt;AlertDays),"Approval waiting",IF(AND($R77&lt;&gt;"",$R77&lt;TODAY(),OR($L77="Open",$L77="Partially received")),"Delivery overdue",""))))</f>
        <v/>
      </c>
      <c r="T77" s="27"/>
      <c r="U77" s="50"/>
      <c r="V77" s="27"/>
      <c r="W77" s="27"/>
      <c r="X77" s="48" t="str">
        <f aca="false">IF(OR($U77="",$C77=""),"",$U77+IF($V77="",TermsDays,$V77))</f>
        <v/>
      </c>
      <c r="Y77" s="27"/>
      <c r="Z77" s="49" t="str">
        <f aca="false">IF($L77="Invoiced",COUNTIF($L$6:$L77,"Invoiced"),"")</f>
        <v/>
      </c>
    </row>
    <row r="78" customFormat="false" ht="15" hidden="false" customHeight="false" outlineLevel="0" collapsed="false">
      <c r="A78" s="45" t="str">
        <f aca="false">IF($C78="","",POStart+COUNTA($C$6:$C78)-1)</f>
        <v/>
      </c>
      <c r="B78" s="45" t="str">
        <f aca="false">IF($A78="","",POPrefix&amp;$A78)</f>
        <v/>
      </c>
      <c r="C78" s="50"/>
      <c r="D78" s="27"/>
      <c r="E78" s="27"/>
      <c r="F78" s="27"/>
      <c r="G78" s="27"/>
      <c r="H78" s="27"/>
      <c r="I78" s="27"/>
      <c r="J78" s="27"/>
      <c r="K78" s="50"/>
      <c r="L78" s="27"/>
      <c r="M78" s="28"/>
      <c r="N78" s="28"/>
      <c r="O78" s="28"/>
      <c r="P78" s="26" t="str">
        <f aca="false">IF($C78="","",IF(OR($L78="Closed",$L78="Cancelled"),0,MAX(0,$M78-$O78)))</f>
        <v/>
      </c>
      <c r="Q78" s="45" t="str">
        <f aca="true">IF(OR($C78="",$L78="Closed",$L78="Cancelled",$L78="Invoiced"),"",MAX(0,TODAY()-$C78))</f>
        <v/>
      </c>
      <c r="R78" s="50"/>
      <c r="S78" s="47" t="str">
        <f aca="true">IF($C78="","",IF(AND($O78&gt;0,$O78&gt;$M78),"Invoice over PO - check",IF(AND($J78="Pending approval",TODAY()-$C78&gt;AlertDays),"Approval waiting",IF(AND($R78&lt;&gt;"",$R78&lt;TODAY(),OR($L78="Open",$L78="Partially received")),"Delivery overdue",""))))</f>
        <v/>
      </c>
      <c r="T78" s="27"/>
      <c r="U78" s="50"/>
      <c r="V78" s="27"/>
      <c r="W78" s="27"/>
      <c r="X78" s="48" t="str">
        <f aca="false">IF(OR($U78="",$C78=""),"",$U78+IF($V78="",TermsDays,$V78))</f>
        <v/>
      </c>
      <c r="Y78" s="27"/>
      <c r="Z78" s="49" t="str">
        <f aca="false">IF($L78="Invoiced",COUNTIF($L$6:$L78,"Invoiced"),"")</f>
        <v/>
      </c>
    </row>
    <row r="79" customFormat="false" ht="15" hidden="false" customHeight="false" outlineLevel="0" collapsed="false">
      <c r="A79" s="45" t="str">
        <f aca="false">IF($C79="","",POStart+COUNTA($C$6:$C79)-1)</f>
        <v/>
      </c>
      <c r="B79" s="45" t="str">
        <f aca="false">IF($A79="","",POPrefix&amp;$A79)</f>
        <v/>
      </c>
      <c r="C79" s="50"/>
      <c r="D79" s="27"/>
      <c r="E79" s="27"/>
      <c r="F79" s="27"/>
      <c r="G79" s="27"/>
      <c r="H79" s="27"/>
      <c r="I79" s="27"/>
      <c r="J79" s="27"/>
      <c r="K79" s="50"/>
      <c r="L79" s="27"/>
      <c r="M79" s="28"/>
      <c r="N79" s="28"/>
      <c r="O79" s="28"/>
      <c r="P79" s="26" t="str">
        <f aca="false">IF($C79="","",IF(OR($L79="Closed",$L79="Cancelled"),0,MAX(0,$M79-$O79)))</f>
        <v/>
      </c>
      <c r="Q79" s="45" t="str">
        <f aca="true">IF(OR($C79="",$L79="Closed",$L79="Cancelled",$L79="Invoiced"),"",MAX(0,TODAY()-$C79))</f>
        <v/>
      </c>
      <c r="R79" s="50"/>
      <c r="S79" s="47" t="str">
        <f aca="true">IF($C79="","",IF(AND($O79&gt;0,$O79&gt;$M79),"Invoice over PO - check",IF(AND($J79="Pending approval",TODAY()-$C79&gt;AlertDays),"Approval waiting",IF(AND($R79&lt;&gt;"",$R79&lt;TODAY(),OR($L79="Open",$L79="Partially received")),"Delivery overdue",""))))</f>
        <v/>
      </c>
      <c r="T79" s="27"/>
      <c r="U79" s="50"/>
      <c r="V79" s="27"/>
      <c r="W79" s="27"/>
      <c r="X79" s="48" t="str">
        <f aca="false">IF(OR($U79="",$C79=""),"",$U79+IF($V79="",TermsDays,$V79))</f>
        <v/>
      </c>
      <c r="Y79" s="27"/>
      <c r="Z79" s="49" t="str">
        <f aca="false">IF($L79="Invoiced",COUNTIF($L$6:$L79,"Invoiced"),"")</f>
        <v/>
      </c>
    </row>
    <row r="80" customFormat="false" ht="15" hidden="false" customHeight="false" outlineLevel="0" collapsed="false">
      <c r="A80" s="45" t="str">
        <f aca="false">IF($C80="","",POStart+COUNTA($C$6:$C80)-1)</f>
        <v/>
      </c>
      <c r="B80" s="45" t="str">
        <f aca="false">IF($A80="","",POPrefix&amp;$A80)</f>
        <v/>
      </c>
      <c r="C80" s="50"/>
      <c r="D80" s="27"/>
      <c r="E80" s="27"/>
      <c r="F80" s="27"/>
      <c r="G80" s="27"/>
      <c r="H80" s="27"/>
      <c r="I80" s="27"/>
      <c r="J80" s="27"/>
      <c r="K80" s="50"/>
      <c r="L80" s="27"/>
      <c r="M80" s="28"/>
      <c r="N80" s="28"/>
      <c r="O80" s="28"/>
      <c r="P80" s="26" t="str">
        <f aca="false">IF($C80="","",IF(OR($L80="Closed",$L80="Cancelled"),0,MAX(0,$M80-$O80)))</f>
        <v/>
      </c>
      <c r="Q80" s="45" t="str">
        <f aca="true">IF(OR($C80="",$L80="Closed",$L80="Cancelled",$L80="Invoiced"),"",MAX(0,TODAY()-$C80))</f>
        <v/>
      </c>
      <c r="R80" s="50"/>
      <c r="S80" s="47" t="str">
        <f aca="true">IF($C80="","",IF(AND($O80&gt;0,$O80&gt;$M80),"Invoice over PO - check",IF(AND($J80="Pending approval",TODAY()-$C80&gt;AlertDays),"Approval waiting",IF(AND($R80&lt;&gt;"",$R80&lt;TODAY(),OR($L80="Open",$L80="Partially received")),"Delivery overdue",""))))</f>
        <v/>
      </c>
      <c r="T80" s="27"/>
      <c r="U80" s="50"/>
      <c r="V80" s="27"/>
      <c r="W80" s="27"/>
      <c r="X80" s="48" t="str">
        <f aca="false">IF(OR($U80="",$C80=""),"",$U80+IF($V80="",TermsDays,$V80))</f>
        <v/>
      </c>
      <c r="Y80" s="27"/>
      <c r="Z80" s="49" t="str">
        <f aca="false">IF($L80="Invoiced",COUNTIF($L$6:$L80,"Invoiced"),"")</f>
        <v/>
      </c>
    </row>
    <row r="81" customFormat="false" ht="15" hidden="false" customHeight="false" outlineLevel="0" collapsed="false">
      <c r="A81" s="45" t="str">
        <f aca="false">IF($C81="","",POStart+COUNTA($C$6:$C81)-1)</f>
        <v/>
      </c>
      <c r="B81" s="45" t="str">
        <f aca="false">IF($A81="","",POPrefix&amp;$A81)</f>
        <v/>
      </c>
      <c r="C81" s="50"/>
      <c r="D81" s="27"/>
      <c r="E81" s="27"/>
      <c r="F81" s="27"/>
      <c r="G81" s="27"/>
      <c r="H81" s="27"/>
      <c r="I81" s="27"/>
      <c r="J81" s="27"/>
      <c r="K81" s="50"/>
      <c r="L81" s="27"/>
      <c r="M81" s="28"/>
      <c r="N81" s="28"/>
      <c r="O81" s="28"/>
      <c r="P81" s="26" t="str">
        <f aca="false">IF($C81="","",IF(OR($L81="Closed",$L81="Cancelled"),0,MAX(0,$M81-$O81)))</f>
        <v/>
      </c>
      <c r="Q81" s="45" t="str">
        <f aca="true">IF(OR($C81="",$L81="Closed",$L81="Cancelled",$L81="Invoiced"),"",MAX(0,TODAY()-$C81))</f>
        <v/>
      </c>
      <c r="R81" s="50"/>
      <c r="S81" s="47" t="str">
        <f aca="true">IF($C81="","",IF(AND($O81&gt;0,$O81&gt;$M81),"Invoice over PO - check",IF(AND($J81="Pending approval",TODAY()-$C81&gt;AlertDays),"Approval waiting",IF(AND($R81&lt;&gt;"",$R81&lt;TODAY(),OR($L81="Open",$L81="Partially received")),"Delivery overdue",""))))</f>
        <v/>
      </c>
      <c r="T81" s="27"/>
      <c r="U81" s="50"/>
      <c r="V81" s="27"/>
      <c r="W81" s="27"/>
      <c r="X81" s="48" t="str">
        <f aca="false">IF(OR($U81="",$C81=""),"",$U81+IF($V81="",TermsDays,$V81))</f>
        <v/>
      </c>
      <c r="Y81" s="27"/>
      <c r="Z81" s="49" t="str">
        <f aca="false">IF($L81="Invoiced",COUNTIF($L$6:$L81,"Invoiced"),"")</f>
        <v/>
      </c>
    </row>
    <row r="82" customFormat="false" ht="15" hidden="false" customHeight="false" outlineLevel="0" collapsed="false">
      <c r="A82" s="45" t="str">
        <f aca="false">IF($C82="","",POStart+COUNTA($C$6:$C82)-1)</f>
        <v/>
      </c>
      <c r="B82" s="45" t="str">
        <f aca="false">IF($A82="","",POPrefix&amp;$A82)</f>
        <v/>
      </c>
      <c r="C82" s="50"/>
      <c r="D82" s="27"/>
      <c r="E82" s="27"/>
      <c r="F82" s="27"/>
      <c r="G82" s="27"/>
      <c r="H82" s="27"/>
      <c r="I82" s="27"/>
      <c r="J82" s="27"/>
      <c r="K82" s="50"/>
      <c r="L82" s="27"/>
      <c r="M82" s="28"/>
      <c r="N82" s="28"/>
      <c r="O82" s="28"/>
      <c r="P82" s="26" t="str">
        <f aca="false">IF($C82="","",IF(OR($L82="Closed",$L82="Cancelled"),0,MAX(0,$M82-$O82)))</f>
        <v/>
      </c>
      <c r="Q82" s="45" t="str">
        <f aca="true">IF(OR($C82="",$L82="Closed",$L82="Cancelled",$L82="Invoiced"),"",MAX(0,TODAY()-$C82))</f>
        <v/>
      </c>
      <c r="R82" s="50"/>
      <c r="S82" s="47" t="str">
        <f aca="true">IF($C82="","",IF(AND($O82&gt;0,$O82&gt;$M82),"Invoice over PO - check",IF(AND($J82="Pending approval",TODAY()-$C82&gt;AlertDays),"Approval waiting",IF(AND($R82&lt;&gt;"",$R82&lt;TODAY(),OR($L82="Open",$L82="Partially received")),"Delivery overdue",""))))</f>
        <v/>
      </c>
      <c r="T82" s="27"/>
      <c r="U82" s="50"/>
      <c r="V82" s="27"/>
      <c r="W82" s="27"/>
      <c r="X82" s="48" t="str">
        <f aca="false">IF(OR($U82="",$C82=""),"",$U82+IF($V82="",TermsDays,$V82))</f>
        <v/>
      </c>
      <c r="Y82" s="27"/>
      <c r="Z82" s="49" t="str">
        <f aca="false">IF($L82="Invoiced",COUNTIF($L$6:$L82,"Invoiced"),"")</f>
        <v/>
      </c>
    </row>
    <row r="83" customFormat="false" ht="15" hidden="false" customHeight="false" outlineLevel="0" collapsed="false">
      <c r="A83" s="45" t="str">
        <f aca="false">IF($C83="","",POStart+COUNTA($C$6:$C83)-1)</f>
        <v/>
      </c>
      <c r="B83" s="45" t="str">
        <f aca="false">IF($A83="","",POPrefix&amp;$A83)</f>
        <v/>
      </c>
      <c r="C83" s="50"/>
      <c r="D83" s="27"/>
      <c r="E83" s="27"/>
      <c r="F83" s="27"/>
      <c r="G83" s="27"/>
      <c r="H83" s="27"/>
      <c r="I83" s="27"/>
      <c r="J83" s="27"/>
      <c r="K83" s="50"/>
      <c r="L83" s="27"/>
      <c r="M83" s="28"/>
      <c r="N83" s="28"/>
      <c r="O83" s="28"/>
      <c r="P83" s="26" t="str">
        <f aca="false">IF($C83="","",IF(OR($L83="Closed",$L83="Cancelled"),0,MAX(0,$M83-$O83)))</f>
        <v/>
      </c>
      <c r="Q83" s="45" t="str">
        <f aca="true">IF(OR($C83="",$L83="Closed",$L83="Cancelled",$L83="Invoiced"),"",MAX(0,TODAY()-$C83))</f>
        <v/>
      </c>
      <c r="R83" s="50"/>
      <c r="S83" s="47" t="str">
        <f aca="true">IF($C83="","",IF(AND($O83&gt;0,$O83&gt;$M83),"Invoice over PO - check",IF(AND($J83="Pending approval",TODAY()-$C83&gt;AlertDays),"Approval waiting",IF(AND($R83&lt;&gt;"",$R83&lt;TODAY(),OR($L83="Open",$L83="Partially received")),"Delivery overdue",""))))</f>
        <v/>
      </c>
      <c r="T83" s="27"/>
      <c r="U83" s="50"/>
      <c r="V83" s="27"/>
      <c r="W83" s="27"/>
      <c r="X83" s="48" t="str">
        <f aca="false">IF(OR($U83="",$C83=""),"",$U83+IF($V83="",TermsDays,$V83))</f>
        <v/>
      </c>
      <c r="Y83" s="27"/>
      <c r="Z83" s="49" t="str">
        <f aca="false">IF($L83="Invoiced",COUNTIF($L$6:$L83,"Invoiced"),"")</f>
        <v/>
      </c>
    </row>
    <row r="84" customFormat="false" ht="15" hidden="false" customHeight="false" outlineLevel="0" collapsed="false">
      <c r="A84" s="45" t="str">
        <f aca="false">IF($C84="","",POStart+COUNTA($C$6:$C84)-1)</f>
        <v/>
      </c>
      <c r="B84" s="45" t="str">
        <f aca="false">IF($A84="","",POPrefix&amp;$A84)</f>
        <v/>
      </c>
      <c r="C84" s="50"/>
      <c r="D84" s="27"/>
      <c r="E84" s="27"/>
      <c r="F84" s="27"/>
      <c r="G84" s="27"/>
      <c r="H84" s="27"/>
      <c r="I84" s="27"/>
      <c r="J84" s="27"/>
      <c r="K84" s="50"/>
      <c r="L84" s="27"/>
      <c r="M84" s="28"/>
      <c r="N84" s="28"/>
      <c r="O84" s="28"/>
      <c r="P84" s="26" t="str">
        <f aca="false">IF($C84="","",IF(OR($L84="Closed",$L84="Cancelled"),0,MAX(0,$M84-$O84)))</f>
        <v/>
      </c>
      <c r="Q84" s="45" t="str">
        <f aca="true">IF(OR($C84="",$L84="Closed",$L84="Cancelled",$L84="Invoiced"),"",MAX(0,TODAY()-$C84))</f>
        <v/>
      </c>
      <c r="R84" s="50"/>
      <c r="S84" s="47" t="str">
        <f aca="true">IF($C84="","",IF(AND($O84&gt;0,$O84&gt;$M84),"Invoice over PO - check",IF(AND($J84="Pending approval",TODAY()-$C84&gt;AlertDays),"Approval waiting",IF(AND($R84&lt;&gt;"",$R84&lt;TODAY(),OR($L84="Open",$L84="Partially received")),"Delivery overdue",""))))</f>
        <v/>
      </c>
      <c r="T84" s="27"/>
      <c r="U84" s="50"/>
      <c r="V84" s="27"/>
      <c r="W84" s="27"/>
      <c r="X84" s="48" t="str">
        <f aca="false">IF(OR($U84="",$C84=""),"",$U84+IF($V84="",TermsDays,$V84))</f>
        <v/>
      </c>
      <c r="Y84" s="27"/>
      <c r="Z84" s="49" t="str">
        <f aca="false">IF($L84="Invoiced",COUNTIF($L$6:$L84,"Invoiced"),"")</f>
        <v/>
      </c>
    </row>
    <row r="85" customFormat="false" ht="15" hidden="false" customHeight="false" outlineLevel="0" collapsed="false">
      <c r="A85" s="45" t="str">
        <f aca="false">IF($C85="","",POStart+COUNTA($C$6:$C85)-1)</f>
        <v/>
      </c>
      <c r="B85" s="45" t="str">
        <f aca="false">IF($A85="","",POPrefix&amp;$A85)</f>
        <v/>
      </c>
      <c r="C85" s="50"/>
      <c r="D85" s="27"/>
      <c r="E85" s="27"/>
      <c r="F85" s="27"/>
      <c r="G85" s="27"/>
      <c r="H85" s="27"/>
      <c r="I85" s="27"/>
      <c r="J85" s="27"/>
      <c r="K85" s="50"/>
      <c r="L85" s="27"/>
      <c r="M85" s="28"/>
      <c r="N85" s="28"/>
      <c r="O85" s="28"/>
      <c r="P85" s="26" t="str">
        <f aca="false">IF($C85="","",IF(OR($L85="Closed",$L85="Cancelled"),0,MAX(0,$M85-$O85)))</f>
        <v/>
      </c>
      <c r="Q85" s="45" t="str">
        <f aca="true">IF(OR($C85="",$L85="Closed",$L85="Cancelled",$L85="Invoiced"),"",MAX(0,TODAY()-$C85))</f>
        <v/>
      </c>
      <c r="R85" s="50"/>
      <c r="S85" s="47" t="str">
        <f aca="true">IF($C85="","",IF(AND($O85&gt;0,$O85&gt;$M85),"Invoice over PO - check",IF(AND($J85="Pending approval",TODAY()-$C85&gt;AlertDays),"Approval waiting",IF(AND($R85&lt;&gt;"",$R85&lt;TODAY(),OR($L85="Open",$L85="Partially received")),"Delivery overdue",""))))</f>
        <v/>
      </c>
      <c r="T85" s="27"/>
      <c r="U85" s="50"/>
      <c r="V85" s="27"/>
      <c r="W85" s="27"/>
      <c r="X85" s="48" t="str">
        <f aca="false">IF(OR($U85="",$C85=""),"",$U85+IF($V85="",TermsDays,$V85))</f>
        <v/>
      </c>
      <c r="Y85" s="27"/>
      <c r="Z85" s="49" t="str">
        <f aca="false">IF($L85="Invoiced",COUNTIF($L$6:$L85,"Invoiced"),"")</f>
        <v/>
      </c>
    </row>
    <row r="86" customFormat="false" ht="15" hidden="false" customHeight="false" outlineLevel="0" collapsed="false">
      <c r="A86" s="45" t="str">
        <f aca="false">IF($C86="","",POStart+COUNTA($C$6:$C86)-1)</f>
        <v/>
      </c>
      <c r="B86" s="45" t="str">
        <f aca="false">IF($A86="","",POPrefix&amp;$A86)</f>
        <v/>
      </c>
      <c r="C86" s="50"/>
      <c r="D86" s="27"/>
      <c r="E86" s="27"/>
      <c r="F86" s="27"/>
      <c r="G86" s="27"/>
      <c r="H86" s="27"/>
      <c r="I86" s="27"/>
      <c r="J86" s="27"/>
      <c r="K86" s="50"/>
      <c r="L86" s="27"/>
      <c r="M86" s="28"/>
      <c r="N86" s="28"/>
      <c r="O86" s="28"/>
      <c r="P86" s="26" t="str">
        <f aca="false">IF($C86="","",IF(OR($L86="Closed",$L86="Cancelled"),0,MAX(0,$M86-$O86)))</f>
        <v/>
      </c>
      <c r="Q86" s="45" t="str">
        <f aca="true">IF(OR($C86="",$L86="Closed",$L86="Cancelled",$L86="Invoiced"),"",MAX(0,TODAY()-$C86))</f>
        <v/>
      </c>
      <c r="R86" s="50"/>
      <c r="S86" s="47" t="str">
        <f aca="true">IF($C86="","",IF(AND($O86&gt;0,$O86&gt;$M86),"Invoice over PO - check",IF(AND($J86="Pending approval",TODAY()-$C86&gt;AlertDays),"Approval waiting",IF(AND($R86&lt;&gt;"",$R86&lt;TODAY(),OR($L86="Open",$L86="Partially received")),"Delivery overdue",""))))</f>
        <v/>
      </c>
      <c r="T86" s="27"/>
      <c r="U86" s="50"/>
      <c r="V86" s="27"/>
      <c r="W86" s="27"/>
      <c r="X86" s="48" t="str">
        <f aca="false">IF(OR($U86="",$C86=""),"",$U86+IF($V86="",TermsDays,$V86))</f>
        <v/>
      </c>
      <c r="Y86" s="27"/>
      <c r="Z86" s="49" t="str">
        <f aca="false">IF($L86="Invoiced",COUNTIF($L$6:$L86,"Invoiced"),"")</f>
        <v/>
      </c>
    </row>
    <row r="87" customFormat="false" ht="15" hidden="false" customHeight="false" outlineLevel="0" collapsed="false">
      <c r="A87" s="45" t="str">
        <f aca="false">IF($C87="","",POStart+COUNTA($C$6:$C87)-1)</f>
        <v/>
      </c>
      <c r="B87" s="45" t="str">
        <f aca="false">IF($A87="","",POPrefix&amp;$A87)</f>
        <v/>
      </c>
      <c r="C87" s="50"/>
      <c r="D87" s="27"/>
      <c r="E87" s="27"/>
      <c r="F87" s="27"/>
      <c r="G87" s="27"/>
      <c r="H87" s="27"/>
      <c r="I87" s="27"/>
      <c r="J87" s="27"/>
      <c r="K87" s="50"/>
      <c r="L87" s="27"/>
      <c r="M87" s="28"/>
      <c r="N87" s="28"/>
      <c r="O87" s="28"/>
      <c r="P87" s="26" t="str">
        <f aca="false">IF($C87="","",IF(OR($L87="Closed",$L87="Cancelled"),0,MAX(0,$M87-$O87)))</f>
        <v/>
      </c>
      <c r="Q87" s="45" t="str">
        <f aca="true">IF(OR($C87="",$L87="Closed",$L87="Cancelled",$L87="Invoiced"),"",MAX(0,TODAY()-$C87))</f>
        <v/>
      </c>
      <c r="R87" s="50"/>
      <c r="S87" s="47" t="str">
        <f aca="true">IF($C87="","",IF(AND($O87&gt;0,$O87&gt;$M87),"Invoice over PO - check",IF(AND($J87="Pending approval",TODAY()-$C87&gt;AlertDays),"Approval waiting",IF(AND($R87&lt;&gt;"",$R87&lt;TODAY(),OR($L87="Open",$L87="Partially received")),"Delivery overdue",""))))</f>
        <v/>
      </c>
      <c r="T87" s="27"/>
      <c r="U87" s="50"/>
      <c r="V87" s="27"/>
      <c r="W87" s="27"/>
      <c r="X87" s="48" t="str">
        <f aca="false">IF(OR($U87="",$C87=""),"",$U87+IF($V87="",TermsDays,$V87))</f>
        <v/>
      </c>
      <c r="Y87" s="27"/>
      <c r="Z87" s="49" t="str">
        <f aca="false">IF($L87="Invoiced",COUNTIF($L$6:$L87,"Invoiced"),"")</f>
        <v/>
      </c>
    </row>
    <row r="88" customFormat="false" ht="15" hidden="false" customHeight="false" outlineLevel="0" collapsed="false">
      <c r="A88" s="45" t="str">
        <f aca="false">IF($C88="","",POStart+COUNTA($C$6:$C88)-1)</f>
        <v/>
      </c>
      <c r="B88" s="45" t="str">
        <f aca="false">IF($A88="","",POPrefix&amp;$A88)</f>
        <v/>
      </c>
      <c r="C88" s="50"/>
      <c r="D88" s="27"/>
      <c r="E88" s="27"/>
      <c r="F88" s="27"/>
      <c r="G88" s="27"/>
      <c r="H88" s="27"/>
      <c r="I88" s="27"/>
      <c r="J88" s="27"/>
      <c r="K88" s="50"/>
      <c r="L88" s="27"/>
      <c r="M88" s="28"/>
      <c r="N88" s="28"/>
      <c r="O88" s="28"/>
      <c r="P88" s="26" t="str">
        <f aca="false">IF($C88="","",IF(OR($L88="Closed",$L88="Cancelled"),0,MAX(0,$M88-$O88)))</f>
        <v/>
      </c>
      <c r="Q88" s="45" t="str">
        <f aca="true">IF(OR($C88="",$L88="Closed",$L88="Cancelled",$L88="Invoiced"),"",MAX(0,TODAY()-$C88))</f>
        <v/>
      </c>
      <c r="R88" s="50"/>
      <c r="S88" s="47" t="str">
        <f aca="true">IF($C88="","",IF(AND($O88&gt;0,$O88&gt;$M88),"Invoice over PO - check",IF(AND($J88="Pending approval",TODAY()-$C88&gt;AlertDays),"Approval waiting",IF(AND($R88&lt;&gt;"",$R88&lt;TODAY(),OR($L88="Open",$L88="Partially received")),"Delivery overdue",""))))</f>
        <v/>
      </c>
      <c r="T88" s="27"/>
      <c r="U88" s="50"/>
      <c r="V88" s="27"/>
      <c r="W88" s="27"/>
      <c r="X88" s="48" t="str">
        <f aca="false">IF(OR($U88="",$C88=""),"",$U88+IF($V88="",TermsDays,$V88))</f>
        <v/>
      </c>
      <c r="Y88" s="27"/>
      <c r="Z88" s="49" t="str">
        <f aca="false">IF($L88="Invoiced",COUNTIF($L$6:$L88,"Invoiced"),"")</f>
        <v/>
      </c>
    </row>
    <row r="89" customFormat="false" ht="15" hidden="false" customHeight="false" outlineLevel="0" collapsed="false">
      <c r="A89" s="45" t="str">
        <f aca="false">IF($C89="","",POStart+COUNTA($C$6:$C89)-1)</f>
        <v/>
      </c>
      <c r="B89" s="45" t="str">
        <f aca="false">IF($A89="","",POPrefix&amp;$A89)</f>
        <v/>
      </c>
      <c r="C89" s="50"/>
      <c r="D89" s="27"/>
      <c r="E89" s="27"/>
      <c r="F89" s="27"/>
      <c r="G89" s="27"/>
      <c r="H89" s="27"/>
      <c r="I89" s="27"/>
      <c r="J89" s="27"/>
      <c r="K89" s="50"/>
      <c r="L89" s="27"/>
      <c r="M89" s="28"/>
      <c r="N89" s="28"/>
      <c r="O89" s="28"/>
      <c r="P89" s="26" t="str">
        <f aca="false">IF($C89="","",IF(OR($L89="Closed",$L89="Cancelled"),0,MAX(0,$M89-$O89)))</f>
        <v/>
      </c>
      <c r="Q89" s="45" t="str">
        <f aca="true">IF(OR($C89="",$L89="Closed",$L89="Cancelled",$L89="Invoiced"),"",MAX(0,TODAY()-$C89))</f>
        <v/>
      </c>
      <c r="R89" s="50"/>
      <c r="S89" s="47" t="str">
        <f aca="true">IF($C89="","",IF(AND($O89&gt;0,$O89&gt;$M89),"Invoice over PO - check",IF(AND($J89="Pending approval",TODAY()-$C89&gt;AlertDays),"Approval waiting",IF(AND($R89&lt;&gt;"",$R89&lt;TODAY(),OR($L89="Open",$L89="Partially received")),"Delivery overdue",""))))</f>
        <v/>
      </c>
      <c r="T89" s="27"/>
      <c r="U89" s="50"/>
      <c r="V89" s="27"/>
      <c r="W89" s="27"/>
      <c r="X89" s="48" t="str">
        <f aca="false">IF(OR($U89="",$C89=""),"",$U89+IF($V89="",TermsDays,$V89))</f>
        <v/>
      </c>
      <c r="Y89" s="27"/>
      <c r="Z89" s="49" t="str">
        <f aca="false">IF($L89="Invoiced",COUNTIF($L$6:$L89,"Invoiced"),"")</f>
        <v/>
      </c>
    </row>
    <row r="90" customFormat="false" ht="15" hidden="false" customHeight="false" outlineLevel="0" collapsed="false">
      <c r="A90" s="45" t="str">
        <f aca="false">IF($C90="","",POStart+COUNTA($C$6:$C90)-1)</f>
        <v/>
      </c>
      <c r="B90" s="45" t="str">
        <f aca="false">IF($A90="","",POPrefix&amp;$A90)</f>
        <v/>
      </c>
      <c r="C90" s="50"/>
      <c r="D90" s="27"/>
      <c r="E90" s="27"/>
      <c r="F90" s="27"/>
      <c r="G90" s="27"/>
      <c r="H90" s="27"/>
      <c r="I90" s="27"/>
      <c r="J90" s="27"/>
      <c r="K90" s="50"/>
      <c r="L90" s="27"/>
      <c r="M90" s="28"/>
      <c r="N90" s="28"/>
      <c r="O90" s="28"/>
      <c r="P90" s="26" t="str">
        <f aca="false">IF($C90="","",IF(OR($L90="Closed",$L90="Cancelled"),0,MAX(0,$M90-$O90)))</f>
        <v/>
      </c>
      <c r="Q90" s="45" t="str">
        <f aca="true">IF(OR($C90="",$L90="Closed",$L90="Cancelled",$L90="Invoiced"),"",MAX(0,TODAY()-$C90))</f>
        <v/>
      </c>
      <c r="R90" s="50"/>
      <c r="S90" s="47" t="str">
        <f aca="true">IF($C90="","",IF(AND($O90&gt;0,$O90&gt;$M90),"Invoice over PO - check",IF(AND($J90="Pending approval",TODAY()-$C90&gt;AlertDays),"Approval waiting",IF(AND($R90&lt;&gt;"",$R90&lt;TODAY(),OR($L90="Open",$L90="Partially received")),"Delivery overdue",""))))</f>
        <v/>
      </c>
      <c r="T90" s="27"/>
      <c r="U90" s="50"/>
      <c r="V90" s="27"/>
      <c r="W90" s="27"/>
      <c r="X90" s="48" t="str">
        <f aca="false">IF(OR($U90="",$C90=""),"",$U90+IF($V90="",TermsDays,$V90))</f>
        <v/>
      </c>
      <c r="Y90" s="27"/>
      <c r="Z90" s="49" t="str">
        <f aca="false">IF($L90="Invoiced",COUNTIF($L$6:$L90,"Invoiced"),"")</f>
        <v/>
      </c>
    </row>
    <row r="91" customFormat="false" ht="15" hidden="false" customHeight="false" outlineLevel="0" collapsed="false">
      <c r="A91" s="45" t="str">
        <f aca="false">IF($C91="","",POStart+COUNTA($C$6:$C91)-1)</f>
        <v/>
      </c>
      <c r="B91" s="45" t="str">
        <f aca="false">IF($A91="","",POPrefix&amp;$A91)</f>
        <v/>
      </c>
      <c r="C91" s="50"/>
      <c r="D91" s="27"/>
      <c r="E91" s="27"/>
      <c r="F91" s="27"/>
      <c r="G91" s="27"/>
      <c r="H91" s="27"/>
      <c r="I91" s="27"/>
      <c r="J91" s="27"/>
      <c r="K91" s="50"/>
      <c r="L91" s="27"/>
      <c r="M91" s="28"/>
      <c r="N91" s="28"/>
      <c r="O91" s="28"/>
      <c r="P91" s="26" t="str">
        <f aca="false">IF($C91="","",IF(OR($L91="Closed",$L91="Cancelled"),0,MAX(0,$M91-$O91)))</f>
        <v/>
      </c>
      <c r="Q91" s="45" t="str">
        <f aca="true">IF(OR($C91="",$L91="Closed",$L91="Cancelled",$L91="Invoiced"),"",MAX(0,TODAY()-$C91))</f>
        <v/>
      </c>
      <c r="R91" s="50"/>
      <c r="S91" s="47" t="str">
        <f aca="true">IF($C91="","",IF(AND($O91&gt;0,$O91&gt;$M91),"Invoice over PO - check",IF(AND($J91="Pending approval",TODAY()-$C91&gt;AlertDays),"Approval waiting",IF(AND($R91&lt;&gt;"",$R91&lt;TODAY(),OR($L91="Open",$L91="Partially received")),"Delivery overdue",""))))</f>
        <v/>
      </c>
      <c r="T91" s="27"/>
      <c r="U91" s="50"/>
      <c r="V91" s="27"/>
      <c r="W91" s="27"/>
      <c r="X91" s="48" t="str">
        <f aca="false">IF(OR($U91="",$C91=""),"",$U91+IF($V91="",TermsDays,$V91))</f>
        <v/>
      </c>
      <c r="Y91" s="27"/>
      <c r="Z91" s="49" t="str">
        <f aca="false">IF($L91="Invoiced",COUNTIF($L$6:$L91,"Invoiced"),"")</f>
        <v/>
      </c>
    </row>
    <row r="92" customFormat="false" ht="15" hidden="false" customHeight="false" outlineLevel="0" collapsed="false">
      <c r="A92" s="45" t="str">
        <f aca="false">IF($C92="","",POStart+COUNTA($C$6:$C92)-1)</f>
        <v/>
      </c>
      <c r="B92" s="45" t="str">
        <f aca="false">IF($A92="","",POPrefix&amp;$A92)</f>
        <v/>
      </c>
      <c r="C92" s="50"/>
      <c r="D92" s="27"/>
      <c r="E92" s="27"/>
      <c r="F92" s="27"/>
      <c r="G92" s="27"/>
      <c r="H92" s="27"/>
      <c r="I92" s="27"/>
      <c r="J92" s="27"/>
      <c r="K92" s="50"/>
      <c r="L92" s="27"/>
      <c r="M92" s="28"/>
      <c r="N92" s="28"/>
      <c r="O92" s="28"/>
      <c r="P92" s="26" t="str">
        <f aca="false">IF($C92="","",IF(OR($L92="Closed",$L92="Cancelled"),0,MAX(0,$M92-$O92)))</f>
        <v/>
      </c>
      <c r="Q92" s="45" t="str">
        <f aca="true">IF(OR($C92="",$L92="Closed",$L92="Cancelled",$L92="Invoiced"),"",MAX(0,TODAY()-$C92))</f>
        <v/>
      </c>
      <c r="R92" s="50"/>
      <c r="S92" s="47" t="str">
        <f aca="true">IF($C92="","",IF(AND($O92&gt;0,$O92&gt;$M92),"Invoice over PO - check",IF(AND($J92="Pending approval",TODAY()-$C92&gt;AlertDays),"Approval waiting",IF(AND($R92&lt;&gt;"",$R92&lt;TODAY(),OR($L92="Open",$L92="Partially received")),"Delivery overdue",""))))</f>
        <v/>
      </c>
      <c r="T92" s="27"/>
      <c r="U92" s="50"/>
      <c r="V92" s="27"/>
      <c r="W92" s="27"/>
      <c r="X92" s="48" t="str">
        <f aca="false">IF(OR($U92="",$C92=""),"",$U92+IF($V92="",TermsDays,$V92))</f>
        <v/>
      </c>
      <c r="Y92" s="27"/>
      <c r="Z92" s="49" t="str">
        <f aca="false">IF($L92="Invoiced",COUNTIF($L$6:$L92,"Invoiced"),"")</f>
        <v/>
      </c>
    </row>
    <row r="93" customFormat="false" ht="15" hidden="false" customHeight="false" outlineLevel="0" collapsed="false">
      <c r="A93" s="45" t="str">
        <f aca="false">IF($C93="","",POStart+COUNTA($C$6:$C93)-1)</f>
        <v/>
      </c>
      <c r="B93" s="45" t="str">
        <f aca="false">IF($A93="","",POPrefix&amp;$A93)</f>
        <v/>
      </c>
      <c r="C93" s="50"/>
      <c r="D93" s="27"/>
      <c r="E93" s="27"/>
      <c r="F93" s="27"/>
      <c r="G93" s="27"/>
      <c r="H93" s="27"/>
      <c r="I93" s="27"/>
      <c r="J93" s="27"/>
      <c r="K93" s="50"/>
      <c r="L93" s="27"/>
      <c r="M93" s="28"/>
      <c r="N93" s="28"/>
      <c r="O93" s="28"/>
      <c r="P93" s="26" t="str">
        <f aca="false">IF($C93="","",IF(OR($L93="Closed",$L93="Cancelled"),0,MAX(0,$M93-$O93)))</f>
        <v/>
      </c>
      <c r="Q93" s="45" t="str">
        <f aca="true">IF(OR($C93="",$L93="Closed",$L93="Cancelled",$L93="Invoiced"),"",MAX(0,TODAY()-$C93))</f>
        <v/>
      </c>
      <c r="R93" s="50"/>
      <c r="S93" s="47" t="str">
        <f aca="true">IF($C93="","",IF(AND($O93&gt;0,$O93&gt;$M93),"Invoice over PO - check",IF(AND($J93="Pending approval",TODAY()-$C93&gt;AlertDays),"Approval waiting",IF(AND($R93&lt;&gt;"",$R93&lt;TODAY(),OR($L93="Open",$L93="Partially received")),"Delivery overdue",""))))</f>
        <v/>
      </c>
      <c r="T93" s="27"/>
      <c r="U93" s="50"/>
      <c r="V93" s="27"/>
      <c r="W93" s="27"/>
      <c r="X93" s="48" t="str">
        <f aca="false">IF(OR($U93="",$C93=""),"",$U93+IF($V93="",TermsDays,$V93))</f>
        <v/>
      </c>
      <c r="Y93" s="27"/>
      <c r="Z93" s="49" t="str">
        <f aca="false">IF($L93="Invoiced",COUNTIF($L$6:$L93,"Invoiced"),"")</f>
        <v/>
      </c>
    </row>
    <row r="94" customFormat="false" ht="15" hidden="false" customHeight="false" outlineLevel="0" collapsed="false">
      <c r="A94" s="45" t="str">
        <f aca="false">IF($C94="","",POStart+COUNTA($C$6:$C94)-1)</f>
        <v/>
      </c>
      <c r="B94" s="45" t="str">
        <f aca="false">IF($A94="","",POPrefix&amp;$A94)</f>
        <v/>
      </c>
      <c r="C94" s="50"/>
      <c r="D94" s="27"/>
      <c r="E94" s="27"/>
      <c r="F94" s="27"/>
      <c r="G94" s="27"/>
      <c r="H94" s="27"/>
      <c r="I94" s="27"/>
      <c r="J94" s="27"/>
      <c r="K94" s="50"/>
      <c r="L94" s="27"/>
      <c r="M94" s="28"/>
      <c r="N94" s="28"/>
      <c r="O94" s="28"/>
      <c r="P94" s="26" t="str">
        <f aca="false">IF($C94="","",IF(OR($L94="Closed",$L94="Cancelled"),0,MAX(0,$M94-$O94)))</f>
        <v/>
      </c>
      <c r="Q94" s="45" t="str">
        <f aca="true">IF(OR($C94="",$L94="Closed",$L94="Cancelled",$L94="Invoiced"),"",MAX(0,TODAY()-$C94))</f>
        <v/>
      </c>
      <c r="R94" s="50"/>
      <c r="S94" s="47" t="str">
        <f aca="true">IF($C94="","",IF(AND($O94&gt;0,$O94&gt;$M94),"Invoice over PO - check",IF(AND($J94="Pending approval",TODAY()-$C94&gt;AlertDays),"Approval waiting",IF(AND($R94&lt;&gt;"",$R94&lt;TODAY(),OR($L94="Open",$L94="Partially received")),"Delivery overdue",""))))</f>
        <v/>
      </c>
      <c r="T94" s="27"/>
      <c r="U94" s="50"/>
      <c r="V94" s="27"/>
      <c r="W94" s="27"/>
      <c r="X94" s="48" t="str">
        <f aca="false">IF(OR($U94="",$C94=""),"",$U94+IF($V94="",TermsDays,$V94))</f>
        <v/>
      </c>
      <c r="Y94" s="27"/>
      <c r="Z94" s="49" t="str">
        <f aca="false">IF($L94="Invoiced",COUNTIF($L$6:$L94,"Invoiced"),"")</f>
        <v/>
      </c>
    </row>
    <row r="95" customFormat="false" ht="15" hidden="false" customHeight="false" outlineLevel="0" collapsed="false">
      <c r="A95" s="45" t="str">
        <f aca="false">IF($C95="","",POStart+COUNTA($C$6:$C95)-1)</f>
        <v/>
      </c>
      <c r="B95" s="45" t="str">
        <f aca="false">IF($A95="","",POPrefix&amp;$A95)</f>
        <v/>
      </c>
      <c r="C95" s="50"/>
      <c r="D95" s="27"/>
      <c r="E95" s="27"/>
      <c r="F95" s="27"/>
      <c r="G95" s="27"/>
      <c r="H95" s="27"/>
      <c r="I95" s="27"/>
      <c r="J95" s="27"/>
      <c r="K95" s="50"/>
      <c r="L95" s="27"/>
      <c r="M95" s="28"/>
      <c r="N95" s="28"/>
      <c r="O95" s="28"/>
      <c r="P95" s="26" t="str">
        <f aca="false">IF($C95="","",IF(OR($L95="Closed",$L95="Cancelled"),0,MAX(0,$M95-$O95)))</f>
        <v/>
      </c>
      <c r="Q95" s="45" t="str">
        <f aca="true">IF(OR($C95="",$L95="Closed",$L95="Cancelled",$L95="Invoiced"),"",MAX(0,TODAY()-$C95))</f>
        <v/>
      </c>
      <c r="R95" s="50"/>
      <c r="S95" s="47" t="str">
        <f aca="true">IF($C95="","",IF(AND($O95&gt;0,$O95&gt;$M95),"Invoice over PO - check",IF(AND($J95="Pending approval",TODAY()-$C95&gt;AlertDays),"Approval waiting",IF(AND($R95&lt;&gt;"",$R95&lt;TODAY(),OR($L95="Open",$L95="Partially received")),"Delivery overdue",""))))</f>
        <v/>
      </c>
      <c r="T95" s="27"/>
      <c r="U95" s="50"/>
      <c r="V95" s="27"/>
      <c r="W95" s="27"/>
      <c r="X95" s="48" t="str">
        <f aca="false">IF(OR($U95="",$C95=""),"",$U95+IF($V95="",TermsDays,$V95))</f>
        <v/>
      </c>
      <c r="Y95" s="27"/>
      <c r="Z95" s="49" t="str">
        <f aca="false">IF($L95="Invoiced",COUNTIF($L$6:$L95,"Invoiced"),"")</f>
        <v/>
      </c>
    </row>
    <row r="96" customFormat="false" ht="15" hidden="false" customHeight="false" outlineLevel="0" collapsed="false">
      <c r="A96" s="45" t="str">
        <f aca="false">IF($C96="","",POStart+COUNTA($C$6:$C96)-1)</f>
        <v/>
      </c>
      <c r="B96" s="45" t="str">
        <f aca="false">IF($A96="","",POPrefix&amp;$A96)</f>
        <v/>
      </c>
      <c r="C96" s="50"/>
      <c r="D96" s="27"/>
      <c r="E96" s="27"/>
      <c r="F96" s="27"/>
      <c r="G96" s="27"/>
      <c r="H96" s="27"/>
      <c r="I96" s="27"/>
      <c r="J96" s="27"/>
      <c r="K96" s="50"/>
      <c r="L96" s="27"/>
      <c r="M96" s="28"/>
      <c r="N96" s="28"/>
      <c r="O96" s="28"/>
      <c r="P96" s="26" t="str">
        <f aca="false">IF($C96="","",IF(OR($L96="Closed",$L96="Cancelled"),0,MAX(0,$M96-$O96)))</f>
        <v/>
      </c>
      <c r="Q96" s="45" t="str">
        <f aca="true">IF(OR($C96="",$L96="Closed",$L96="Cancelled",$L96="Invoiced"),"",MAX(0,TODAY()-$C96))</f>
        <v/>
      </c>
      <c r="R96" s="50"/>
      <c r="S96" s="47" t="str">
        <f aca="true">IF($C96="","",IF(AND($O96&gt;0,$O96&gt;$M96),"Invoice over PO - check",IF(AND($J96="Pending approval",TODAY()-$C96&gt;AlertDays),"Approval waiting",IF(AND($R96&lt;&gt;"",$R96&lt;TODAY(),OR($L96="Open",$L96="Partially received")),"Delivery overdue",""))))</f>
        <v/>
      </c>
      <c r="T96" s="27"/>
      <c r="U96" s="50"/>
      <c r="V96" s="27"/>
      <c r="W96" s="27"/>
      <c r="X96" s="48" t="str">
        <f aca="false">IF(OR($U96="",$C96=""),"",$U96+IF($V96="",TermsDays,$V96))</f>
        <v/>
      </c>
      <c r="Y96" s="27"/>
      <c r="Z96" s="49" t="str">
        <f aca="false">IF($L96="Invoiced",COUNTIF($L$6:$L96,"Invoiced"),"")</f>
        <v/>
      </c>
    </row>
    <row r="97" customFormat="false" ht="15" hidden="false" customHeight="false" outlineLevel="0" collapsed="false">
      <c r="A97" s="45" t="str">
        <f aca="false">IF($C97="","",POStart+COUNTA($C$6:$C97)-1)</f>
        <v/>
      </c>
      <c r="B97" s="45" t="str">
        <f aca="false">IF($A97="","",POPrefix&amp;$A97)</f>
        <v/>
      </c>
      <c r="C97" s="50"/>
      <c r="D97" s="27"/>
      <c r="E97" s="27"/>
      <c r="F97" s="27"/>
      <c r="G97" s="27"/>
      <c r="H97" s="27"/>
      <c r="I97" s="27"/>
      <c r="J97" s="27"/>
      <c r="K97" s="50"/>
      <c r="L97" s="27"/>
      <c r="M97" s="28"/>
      <c r="N97" s="28"/>
      <c r="O97" s="28"/>
      <c r="P97" s="26" t="str">
        <f aca="false">IF($C97="","",IF(OR($L97="Closed",$L97="Cancelled"),0,MAX(0,$M97-$O97)))</f>
        <v/>
      </c>
      <c r="Q97" s="45" t="str">
        <f aca="true">IF(OR($C97="",$L97="Closed",$L97="Cancelled",$L97="Invoiced"),"",MAX(0,TODAY()-$C97))</f>
        <v/>
      </c>
      <c r="R97" s="50"/>
      <c r="S97" s="47" t="str">
        <f aca="true">IF($C97="","",IF(AND($O97&gt;0,$O97&gt;$M97),"Invoice over PO - check",IF(AND($J97="Pending approval",TODAY()-$C97&gt;AlertDays),"Approval waiting",IF(AND($R97&lt;&gt;"",$R97&lt;TODAY(),OR($L97="Open",$L97="Partially received")),"Delivery overdue",""))))</f>
        <v/>
      </c>
      <c r="T97" s="27"/>
      <c r="U97" s="50"/>
      <c r="V97" s="27"/>
      <c r="W97" s="27"/>
      <c r="X97" s="48" t="str">
        <f aca="false">IF(OR($U97="",$C97=""),"",$U97+IF($V97="",TermsDays,$V97))</f>
        <v/>
      </c>
      <c r="Y97" s="27"/>
      <c r="Z97" s="49" t="str">
        <f aca="false">IF($L97="Invoiced",COUNTIF($L$6:$L97,"Invoiced"),"")</f>
        <v/>
      </c>
    </row>
    <row r="98" customFormat="false" ht="15" hidden="false" customHeight="false" outlineLevel="0" collapsed="false">
      <c r="A98" s="45" t="str">
        <f aca="false">IF($C98="","",POStart+COUNTA($C$6:$C98)-1)</f>
        <v/>
      </c>
      <c r="B98" s="45" t="str">
        <f aca="false">IF($A98="","",POPrefix&amp;$A98)</f>
        <v/>
      </c>
      <c r="C98" s="50"/>
      <c r="D98" s="27"/>
      <c r="E98" s="27"/>
      <c r="F98" s="27"/>
      <c r="G98" s="27"/>
      <c r="H98" s="27"/>
      <c r="I98" s="27"/>
      <c r="J98" s="27"/>
      <c r="K98" s="50"/>
      <c r="L98" s="27"/>
      <c r="M98" s="28"/>
      <c r="N98" s="28"/>
      <c r="O98" s="28"/>
      <c r="P98" s="26" t="str">
        <f aca="false">IF($C98="","",IF(OR($L98="Closed",$L98="Cancelled"),0,MAX(0,$M98-$O98)))</f>
        <v/>
      </c>
      <c r="Q98" s="45" t="str">
        <f aca="true">IF(OR($C98="",$L98="Closed",$L98="Cancelled",$L98="Invoiced"),"",MAX(0,TODAY()-$C98))</f>
        <v/>
      </c>
      <c r="R98" s="50"/>
      <c r="S98" s="47" t="str">
        <f aca="true">IF($C98="","",IF(AND($O98&gt;0,$O98&gt;$M98),"Invoice over PO - check",IF(AND($J98="Pending approval",TODAY()-$C98&gt;AlertDays),"Approval waiting",IF(AND($R98&lt;&gt;"",$R98&lt;TODAY(),OR($L98="Open",$L98="Partially received")),"Delivery overdue",""))))</f>
        <v/>
      </c>
      <c r="T98" s="27"/>
      <c r="U98" s="50"/>
      <c r="V98" s="27"/>
      <c r="W98" s="27"/>
      <c r="X98" s="48" t="str">
        <f aca="false">IF(OR($U98="",$C98=""),"",$U98+IF($V98="",TermsDays,$V98))</f>
        <v/>
      </c>
      <c r="Y98" s="27"/>
      <c r="Z98" s="49" t="str">
        <f aca="false">IF($L98="Invoiced",COUNTIF($L$6:$L98,"Invoiced"),"")</f>
        <v/>
      </c>
    </row>
    <row r="99" customFormat="false" ht="15" hidden="false" customHeight="false" outlineLevel="0" collapsed="false">
      <c r="A99" s="45" t="str">
        <f aca="false">IF($C99="","",POStart+COUNTA($C$6:$C99)-1)</f>
        <v/>
      </c>
      <c r="B99" s="45" t="str">
        <f aca="false">IF($A99="","",POPrefix&amp;$A99)</f>
        <v/>
      </c>
      <c r="C99" s="50"/>
      <c r="D99" s="27"/>
      <c r="E99" s="27"/>
      <c r="F99" s="27"/>
      <c r="G99" s="27"/>
      <c r="H99" s="27"/>
      <c r="I99" s="27"/>
      <c r="J99" s="27"/>
      <c r="K99" s="50"/>
      <c r="L99" s="27"/>
      <c r="M99" s="28"/>
      <c r="N99" s="28"/>
      <c r="O99" s="28"/>
      <c r="P99" s="26" t="str">
        <f aca="false">IF($C99="","",IF(OR($L99="Closed",$L99="Cancelled"),0,MAX(0,$M99-$O99)))</f>
        <v/>
      </c>
      <c r="Q99" s="45" t="str">
        <f aca="true">IF(OR($C99="",$L99="Closed",$L99="Cancelled",$L99="Invoiced"),"",MAX(0,TODAY()-$C99))</f>
        <v/>
      </c>
      <c r="R99" s="50"/>
      <c r="S99" s="47" t="str">
        <f aca="true">IF($C99="","",IF(AND($O99&gt;0,$O99&gt;$M99),"Invoice over PO - check",IF(AND($J99="Pending approval",TODAY()-$C99&gt;AlertDays),"Approval waiting",IF(AND($R99&lt;&gt;"",$R99&lt;TODAY(),OR($L99="Open",$L99="Partially received")),"Delivery overdue",""))))</f>
        <v/>
      </c>
      <c r="T99" s="27"/>
      <c r="U99" s="50"/>
      <c r="V99" s="27"/>
      <c r="W99" s="27"/>
      <c r="X99" s="48" t="str">
        <f aca="false">IF(OR($U99="",$C99=""),"",$U99+IF($V99="",TermsDays,$V99))</f>
        <v/>
      </c>
      <c r="Y99" s="27"/>
      <c r="Z99" s="49" t="str">
        <f aca="false">IF($L99="Invoiced",COUNTIF($L$6:$L99,"Invoiced"),"")</f>
        <v/>
      </c>
    </row>
    <row r="100" customFormat="false" ht="15" hidden="false" customHeight="false" outlineLevel="0" collapsed="false">
      <c r="A100" s="45" t="str">
        <f aca="false">IF($C100="","",POStart+COUNTA($C$6:$C100)-1)</f>
        <v/>
      </c>
      <c r="B100" s="45" t="str">
        <f aca="false">IF($A100="","",POPrefix&amp;$A100)</f>
        <v/>
      </c>
      <c r="C100" s="50"/>
      <c r="D100" s="27"/>
      <c r="E100" s="27"/>
      <c r="F100" s="27"/>
      <c r="G100" s="27"/>
      <c r="H100" s="27"/>
      <c r="I100" s="27"/>
      <c r="J100" s="27"/>
      <c r="K100" s="50"/>
      <c r="L100" s="27"/>
      <c r="M100" s="28"/>
      <c r="N100" s="28"/>
      <c r="O100" s="28"/>
      <c r="P100" s="26" t="str">
        <f aca="false">IF($C100="","",IF(OR($L100="Closed",$L100="Cancelled"),0,MAX(0,$M100-$O100)))</f>
        <v/>
      </c>
      <c r="Q100" s="45" t="str">
        <f aca="true">IF(OR($C100="",$L100="Closed",$L100="Cancelled",$L100="Invoiced"),"",MAX(0,TODAY()-$C100))</f>
        <v/>
      </c>
      <c r="R100" s="50"/>
      <c r="S100" s="47" t="str">
        <f aca="true">IF($C100="","",IF(AND($O100&gt;0,$O100&gt;$M100),"Invoice over PO - check",IF(AND($J100="Pending approval",TODAY()-$C100&gt;AlertDays),"Approval waiting",IF(AND($R100&lt;&gt;"",$R100&lt;TODAY(),OR($L100="Open",$L100="Partially received")),"Delivery overdue",""))))</f>
        <v/>
      </c>
      <c r="T100" s="27"/>
      <c r="U100" s="50"/>
      <c r="V100" s="27"/>
      <c r="W100" s="27"/>
      <c r="X100" s="48" t="str">
        <f aca="false">IF(OR($U100="",$C100=""),"",$U100+IF($V100="",TermsDays,$V100))</f>
        <v/>
      </c>
      <c r="Y100" s="27"/>
      <c r="Z100" s="49" t="str">
        <f aca="false">IF($L100="Invoiced",COUNTIF($L$6:$L100,"Invoiced"),"")</f>
        <v/>
      </c>
    </row>
    <row r="101" customFormat="false" ht="15" hidden="false" customHeight="false" outlineLevel="0" collapsed="false">
      <c r="A101" s="45" t="str">
        <f aca="false">IF($C101="","",POStart+COUNTA($C$6:$C101)-1)</f>
        <v/>
      </c>
      <c r="B101" s="45" t="str">
        <f aca="false">IF($A101="","",POPrefix&amp;$A101)</f>
        <v/>
      </c>
      <c r="C101" s="50"/>
      <c r="D101" s="27"/>
      <c r="E101" s="27"/>
      <c r="F101" s="27"/>
      <c r="G101" s="27"/>
      <c r="H101" s="27"/>
      <c r="I101" s="27"/>
      <c r="J101" s="27"/>
      <c r="K101" s="50"/>
      <c r="L101" s="27"/>
      <c r="M101" s="28"/>
      <c r="N101" s="28"/>
      <c r="O101" s="28"/>
      <c r="P101" s="26" t="str">
        <f aca="false">IF($C101="","",IF(OR($L101="Closed",$L101="Cancelled"),0,MAX(0,$M101-$O101)))</f>
        <v/>
      </c>
      <c r="Q101" s="45" t="str">
        <f aca="true">IF(OR($C101="",$L101="Closed",$L101="Cancelled",$L101="Invoiced"),"",MAX(0,TODAY()-$C101))</f>
        <v/>
      </c>
      <c r="R101" s="50"/>
      <c r="S101" s="47" t="str">
        <f aca="true">IF($C101="","",IF(AND($O101&gt;0,$O101&gt;$M101),"Invoice over PO - check",IF(AND($J101="Pending approval",TODAY()-$C101&gt;AlertDays),"Approval waiting",IF(AND($R101&lt;&gt;"",$R101&lt;TODAY(),OR($L101="Open",$L101="Partially received")),"Delivery overdue",""))))</f>
        <v/>
      </c>
      <c r="T101" s="27"/>
      <c r="U101" s="50"/>
      <c r="V101" s="27"/>
      <c r="W101" s="27"/>
      <c r="X101" s="48" t="str">
        <f aca="false">IF(OR($U101="",$C101=""),"",$U101+IF($V101="",TermsDays,$V101))</f>
        <v/>
      </c>
      <c r="Y101" s="27"/>
      <c r="Z101" s="49" t="str">
        <f aca="false">IF($L101="Invoiced",COUNTIF($L$6:$L101,"Invoiced"),"")</f>
        <v/>
      </c>
    </row>
    <row r="102" customFormat="false" ht="15" hidden="false" customHeight="false" outlineLevel="0" collapsed="false">
      <c r="A102" s="45" t="str">
        <f aca="false">IF($C102="","",POStart+COUNTA($C$6:$C102)-1)</f>
        <v/>
      </c>
      <c r="B102" s="45" t="str">
        <f aca="false">IF($A102="","",POPrefix&amp;$A102)</f>
        <v/>
      </c>
      <c r="C102" s="50"/>
      <c r="D102" s="27"/>
      <c r="E102" s="27"/>
      <c r="F102" s="27"/>
      <c r="G102" s="27"/>
      <c r="H102" s="27"/>
      <c r="I102" s="27"/>
      <c r="J102" s="27"/>
      <c r="K102" s="50"/>
      <c r="L102" s="27"/>
      <c r="M102" s="28"/>
      <c r="N102" s="28"/>
      <c r="O102" s="28"/>
      <c r="P102" s="26" t="str">
        <f aca="false">IF($C102="","",IF(OR($L102="Closed",$L102="Cancelled"),0,MAX(0,$M102-$O102)))</f>
        <v/>
      </c>
      <c r="Q102" s="45" t="str">
        <f aca="true">IF(OR($C102="",$L102="Closed",$L102="Cancelled",$L102="Invoiced"),"",MAX(0,TODAY()-$C102))</f>
        <v/>
      </c>
      <c r="R102" s="50"/>
      <c r="S102" s="47" t="str">
        <f aca="true">IF($C102="","",IF(AND($O102&gt;0,$O102&gt;$M102),"Invoice over PO - check",IF(AND($J102="Pending approval",TODAY()-$C102&gt;AlertDays),"Approval waiting",IF(AND($R102&lt;&gt;"",$R102&lt;TODAY(),OR($L102="Open",$L102="Partially received")),"Delivery overdue",""))))</f>
        <v/>
      </c>
      <c r="T102" s="27"/>
      <c r="U102" s="50"/>
      <c r="V102" s="27"/>
      <c r="W102" s="27"/>
      <c r="X102" s="48" t="str">
        <f aca="false">IF(OR($U102="",$C102=""),"",$U102+IF($V102="",TermsDays,$V102))</f>
        <v/>
      </c>
      <c r="Y102" s="27"/>
      <c r="Z102" s="49" t="str">
        <f aca="false">IF($L102="Invoiced",COUNTIF($L$6:$L102,"Invoiced"),"")</f>
        <v/>
      </c>
    </row>
    <row r="103" customFormat="false" ht="15" hidden="false" customHeight="false" outlineLevel="0" collapsed="false">
      <c r="A103" s="45" t="str">
        <f aca="false">IF($C103="","",POStart+COUNTA($C$6:$C103)-1)</f>
        <v/>
      </c>
      <c r="B103" s="45" t="str">
        <f aca="false">IF($A103="","",POPrefix&amp;$A103)</f>
        <v/>
      </c>
      <c r="C103" s="50"/>
      <c r="D103" s="27"/>
      <c r="E103" s="27"/>
      <c r="F103" s="27"/>
      <c r="G103" s="27"/>
      <c r="H103" s="27"/>
      <c r="I103" s="27"/>
      <c r="J103" s="27"/>
      <c r="K103" s="50"/>
      <c r="L103" s="27"/>
      <c r="M103" s="28"/>
      <c r="N103" s="28"/>
      <c r="O103" s="28"/>
      <c r="P103" s="26" t="str">
        <f aca="false">IF($C103="","",IF(OR($L103="Closed",$L103="Cancelled"),0,MAX(0,$M103-$O103)))</f>
        <v/>
      </c>
      <c r="Q103" s="45" t="str">
        <f aca="true">IF(OR($C103="",$L103="Closed",$L103="Cancelled",$L103="Invoiced"),"",MAX(0,TODAY()-$C103))</f>
        <v/>
      </c>
      <c r="R103" s="50"/>
      <c r="S103" s="47" t="str">
        <f aca="true">IF($C103="","",IF(AND($O103&gt;0,$O103&gt;$M103),"Invoice over PO - check",IF(AND($J103="Pending approval",TODAY()-$C103&gt;AlertDays),"Approval waiting",IF(AND($R103&lt;&gt;"",$R103&lt;TODAY(),OR($L103="Open",$L103="Partially received")),"Delivery overdue",""))))</f>
        <v/>
      </c>
      <c r="T103" s="27"/>
      <c r="U103" s="50"/>
      <c r="V103" s="27"/>
      <c r="W103" s="27"/>
      <c r="X103" s="48" t="str">
        <f aca="false">IF(OR($U103="",$C103=""),"",$U103+IF($V103="",TermsDays,$V103))</f>
        <v/>
      </c>
      <c r="Y103" s="27"/>
      <c r="Z103" s="49" t="str">
        <f aca="false">IF($L103="Invoiced",COUNTIF($L$6:$L103,"Invoiced"),"")</f>
        <v/>
      </c>
    </row>
    <row r="104" customFormat="false" ht="15" hidden="false" customHeight="false" outlineLevel="0" collapsed="false">
      <c r="A104" s="45" t="str">
        <f aca="false">IF($C104="","",POStart+COUNTA($C$6:$C104)-1)</f>
        <v/>
      </c>
      <c r="B104" s="45" t="str">
        <f aca="false">IF($A104="","",POPrefix&amp;$A104)</f>
        <v/>
      </c>
      <c r="C104" s="50"/>
      <c r="D104" s="27"/>
      <c r="E104" s="27"/>
      <c r="F104" s="27"/>
      <c r="G104" s="27"/>
      <c r="H104" s="27"/>
      <c r="I104" s="27"/>
      <c r="J104" s="27"/>
      <c r="K104" s="50"/>
      <c r="L104" s="27"/>
      <c r="M104" s="28"/>
      <c r="N104" s="28"/>
      <c r="O104" s="28"/>
      <c r="P104" s="26" t="str">
        <f aca="false">IF($C104="","",IF(OR($L104="Closed",$L104="Cancelled"),0,MAX(0,$M104-$O104)))</f>
        <v/>
      </c>
      <c r="Q104" s="45" t="str">
        <f aca="true">IF(OR($C104="",$L104="Closed",$L104="Cancelled",$L104="Invoiced"),"",MAX(0,TODAY()-$C104))</f>
        <v/>
      </c>
      <c r="R104" s="50"/>
      <c r="S104" s="47" t="str">
        <f aca="true">IF($C104="","",IF(AND($O104&gt;0,$O104&gt;$M104),"Invoice over PO - check",IF(AND($J104="Pending approval",TODAY()-$C104&gt;AlertDays),"Approval waiting",IF(AND($R104&lt;&gt;"",$R104&lt;TODAY(),OR($L104="Open",$L104="Partially received")),"Delivery overdue",""))))</f>
        <v/>
      </c>
      <c r="T104" s="27"/>
      <c r="U104" s="50"/>
      <c r="V104" s="27"/>
      <c r="W104" s="27"/>
      <c r="X104" s="48" t="str">
        <f aca="false">IF(OR($U104="",$C104=""),"",$U104+IF($V104="",TermsDays,$V104))</f>
        <v/>
      </c>
      <c r="Y104" s="27"/>
      <c r="Z104" s="49" t="str">
        <f aca="false">IF($L104="Invoiced",COUNTIF($L$6:$L104,"Invoiced"),"")</f>
        <v/>
      </c>
    </row>
    <row r="105" customFormat="false" ht="15" hidden="false" customHeight="false" outlineLevel="0" collapsed="false">
      <c r="A105" s="45" t="str">
        <f aca="false">IF($C105="","",POStart+COUNTA($C$6:$C105)-1)</f>
        <v/>
      </c>
      <c r="B105" s="45" t="str">
        <f aca="false">IF($A105="","",POPrefix&amp;$A105)</f>
        <v/>
      </c>
      <c r="C105" s="50"/>
      <c r="D105" s="27"/>
      <c r="E105" s="27"/>
      <c r="F105" s="27"/>
      <c r="G105" s="27"/>
      <c r="H105" s="27"/>
      <c r="I105" s="27"/>
      <c r="J105" s="27"/>
      <c r="K105" s="50"/>
      <c r="L105" s="27"/>
      <c r="M105" s="28"/>
      <c r="N105" s="28"/>
      <c r="O105" s="28"/>
      <c r="P105" s="26" t="str">
        <f aca="false">IF($C105="","",IF(OR($L105="Closed",$L105="Cancelled"),0,MAX(0,$M105-$O105)))</f>
        <v/>
      </c>
      <c r="Q105" s="45" t="str">
        <f aca="true">IF(OR($C105="",$L105="Closed",$L105="Cancelled",$L105="Invoiced"),"",MAX(0,TODAY()-$C105))</f>
        <v/>
      </c>
      <c r="R105" s="50"/>
      <c r="S105" s="47" t="str">
        <f aca="true">IF($C105="","",IF(AND($O105&gt;0,$O105&gt;$M105),"Invoice over PO - check",IF(AND($J105="Pending approval",TODAY()-$C105&gt;AlertDays),"Approval waiting",IF(AND($R105&lt;&gt;"",$R105&lt;TODAY(),OR($L105="Open",$L105="Partially received")),"Delivery overdue",""))))</f>
        <v/>
      </c>
      <c r="T105" s="27"/>
      <c r="U105" s="50"/>
      <c r="V105" s="27"/>
      <c r="W105" s="27"/>
      <c r="X105" s="48" t="str">
        <f aca="false">IF(OR($U105="",$C105=""),"",$U105+IF($V105="",TermsDays,$V105))</f>
        <v/>
      </c>
      <c r="Y105" s="27"/>
      <c r="Z105" s="49" t="str">
        <f aca="false">IF($L105="Invoiced",COUNTIF($L$6:$L105,"Invoiced"),"")</f>
        <v/>
      </c>
    </row>
    <row r="106" customFormat="false" ht="15" hidden="false" customHeight="false" outlineLevel="0" collapsed="false">
      <c r="A106" s="45" t="str">
        <f aca="false">IF($C106="","",POStart+COUNTA($C$6:$C106)-1)</f>
        <v/>
      </c>
      <c r="B106" s="45" t="str">
        <f aca="false">IF($A106="","",POPrefix&amp;$A106)</f>
        <v/>
      </c>
      <c r="C106" s="50"/>
      <c r="D106" s="27"/>
      <c r="E106" s="27"/>
      <c r="F106" s="27"/>
      <c r="G106" s="27"/>
      <c r="H106" s="27"/>
      <c r="I106" s="27"/>
      <c r="J106" s="27"/>
      <c r="K106" s="50"/>
      <c r="L106" s="27"/>
      <c r="M106" s="28"/>
      <c r="N106" s="28"/>
      <c r="O106" s="28"/>
      <c r="P106" s="26" t="str">
        <f aca="false">IF($C106="","",IF(OR($L106="Closed",$L106="Cancelled"),0,MAX(0,$M106-$O106)))</f>
        <v/>
      </c>
      <c r="Q106" s="45" t="str">
        <f aca="true">IF(OR($C106="",$L106="Closed",$L106="Cancelled",$L106="Invoiced"),"",MAX(0,TODAY()-$C106))</f>
        <v/>
      </c>
      <c r="R106" s="50"/>
      <c r="S106" s="47" t="str">
        <f aca="true">IF($C106="","",IF(AND($O106&gt;0,$O106&gt;$M106),"Invoice over PO - check",IF(AND($J106="Pending approval",TODAY()-$C106&gt;AlertDays),"Approval waiting",IF(AND($R106&lt;&gt;"",$R106&lt;TODAY(),OR($L106="Open",$L106="Partially received")),"Delivery overdue",""))))</f>
        <v/>
      </c>
      <c r="T106" s="27"/>
      <c r="U106" s="50"/>
      <c r="V106" s="27"/>
      <c r="W106" s="27"/>
      <c r="X106" s="48" t="str">
        <f aca="false">IF(OR($U106="",$C106=""),"",$U106+IF($V106="",TermsDays,$V106))</f>
        <v/>
      </c>
      <c r="Y106" s="27"/>
      <c r="Z106" s="49" t="str">
        <f aca="false">IF($L106="Invoiced",COUNTIF($L$6:$L106,"Invoiced"),"")</f>
        <v/>
      </c>
    </row>
    <row r="107" customFormat="false" ht="15" hidden="false" customHeight="false" outlineLevel="0" collapsed="false">
      <c r="A107" s="45" t="str">
        <f aca="false">IF($C107="","",POStart+COUNTA($C$6:$C107)-1)</f>
        <v/>
      </c>
      <c r="B107" s="45" t="str">
        <f aca="false">IF($A107="","",POPrefix&amp;$A107)</f>
        <v/>
      </c>
      <c r="C107" s="50"/>
      <c r="D107" s="27"/>
      <c r="E107" s="27"/>
      <c r="F107" s="27"/>
      <c r="G107" s="27"/>
      <c r="H107" s="27"/>
      <c r="I107" s="27"/>
      <c r="J107" s="27"/>
      <c r="K107" s="50"/>
      <c r="L107" s="27"/>
      <c r="M107" s="28"/>
      <c r="N107" s="28"/>
      <c r="O107" s="28"/>
      <c r="P107" s="26" t="str">
        <f aca="false">IF($C107="","",IF(OR($L107="Closed",$L107="Cancelled"),0,MAX(0,$M107-$O107)))</f>
        <v/>
      </c>
      <c r="Q107" s="45" t="str">
        <f aca="true">IF(OR($C107="",$L107="Closed",$L107="Cancelled",$L107="Invoiced"),"",MAX(0,TODAY()-$C107))</f>
        <v/>
      </c>
      <c r="R107" s="50"/>
      <c r="S107" s="47" t="str">
        <f aca="true">IF($C107="","",IF(AND($O107&gt;0,$O107&gt;$M107),"Invoice over PO - check",IF(AND($J107="Pending approval",TODAY()-$C107&gt;AlertDays),"Approval waiting",IF(AND($R107&lt;&gt;"",$R107&lt;TODAY(),OR($L107="Open",$L107="Partially received")),"Delivery overdue",""))))</f>
        <v/>
      </c>
      <c r="T107" s="27"/>
      <c r="U107" s="50"/>
      <c r="V107" s="27"/>
      <c r="W107" s="27"/>
      <c r="X107" s="48" t="str">
        <f aca="false">IF(OR($U107="",$C107=""),"",$U107+IF($V107="",TermsDays,$V107))</f>
        <v/>
      </c>
      <c r="Y107" s="27"/>
      <c r="Z107" s="49" t="str">
        <f aca="false">IF($L107="Invoiced",COUNTIF($L$6:$L107,"Invoiced"),"")</f>
        <v/>
      </c>
    </row>
    <row r="108" customFormat="false" ht="15" hidden="false" customHeight="false" outlineLevel="0" collapsed="false">
      <c r="A108" s="45" t="str">
        <f aca="false">IF($C108="","",POStart+COUNTA($C$6:$C108)-1)</f>
        <v/>
      </c>
      <c r="B108" s="45" t="str">
        <f aca="false">IF($A108="","",POPrefix&amp;$A108)</f>
        <v/>
      </c>
      <c r="C108" s="50"/>
      <c r="D108" s="27"/>
      <c r="E108" s="27"/>
      <c r="F108" s="27"/>
      <c r="G108" s="27"/>
      <c r="H108" s="27"/>
      <c r="I108" s="27"/>
      <c r="J108" s="27"/>
      <c r="K108" s="50"/>
      <c r="L108" s="27"/>
      <c r="M108" s="28"/>
      <c r="N108" s="28"/>
      <c r="O108" s="28"/>
      <c r="P108" s="26" t="str">
        <f aca="false">IF($C108="","",IF(OR($L108="Closed",$L108="Cancelled"),0,MAX(0,$M108-$O108)))</f>
        <v/>
      </c>
      <c r="Q108" s="45" t="str">
        <f aca="true">IF(OR($C108="",$L108="Closed",$L108="Cancelled",$L108="Invoiced"),"",MAX(0,TODAY()-$C108))</f>
        <v/>
      </c>
      <c r="R108" s="50"/>
      <c r="S108" s="47" t="str">
        <f aca="true">IF($C108="","",IF(AND($O108&gt;0,$O108&gt;$M108),"Invoice over PO - check",IF(AND($J108="Pending approval",TODAY()-$C108&gt;AlertDays),"Approval waiting",IF(AND($R108&lt;&gt;"",$R108&lt;TODAY(),OR($L108="Open",$L108="Partially received")),"Delivery overdue",""))))</f>
        <v/>
      </c>
      <c r="T108" s="27"/>
      <c r="U108" s="50"/>
      <c r="V108" s="27"/>
      <c r="W108" s="27"/>
      <c r="X108" s="48" t="str">
        <f aca="false">IF(OR($U108="",$C108=""),"",$U108+IF($V108="",TermsDays,$V108))</f>
        <v/>
      </c>
      <c r="Y108" s="27"/>
      <c r="Z108" s="49" t="str">
        <f aca="false">IF($L108="Invoiced",COUNTIF($L$6:$L108,"Invoiced"),"")</f>
        <v/>
      </c>
    </row>
    <row r="109" customFormat="false" ht="15" hidden="false" customHeight="false" outlineLevel="0" collapsed="false">
      <c r="A109" s="45" t="str">
        <f aca="false">IF($C109="","",POStart+COUNTA($C$6:$C109)-1)</f>
        <v/>
      </c>
      <c r="B109" s="45" t="str">
        <f aca="false">IF($A109="","",POPrefix&amp;$A109)</f>
        <v/>
      </c>
      <c r="C109" s="50"/>
      <c r="D109" s="27"/>
      <c r="E109" s="27"/>
      <c r="F109" s="27"/>
      <c r="G109" s="27"/>
      <c r="H109" s="27"/>
      <c r="I109" s="27"/>
      <c r="J109" s="27"/>
      <c r="K109" s="50"/>
      <c r="L109" s="27"/>
      <c r="M109" s="28"/>
      <c r="N109" s="28"/>
      <c r="O109" s="28"/>
      <c r="P109" s="26" t="str">
        <f aca="false">IF($C109="","",IF(OR($L109="Closed",$L109="Cancelled"),0,MAX(0,$M109-$O109)))</f>
        <v/>
      </c>
      <c r="Q109" s="45" t="str">
        <f aca="true">IF(OR($C109="",$L109="Closed",$L109="Cancelled",$L109="Invoiced"),"",MAX(0,TODAY()-$C109))</f>
        <v/>
      </c>
      <c r="R109" s="50"/>
      <c r="S109" s="47" t="str">
        <f aca="true">IF($C109="","",IF(AND($O109&gt;0,$O109&gt;$M109),"Invoice over PO - check",IF(AND($J109="Pending approval",TODAY()-$C109&gt;AlertDays),"Approval waiting",IF(AND($R109&lt;&gt;"",$R109&lt;TODAY(),OR($L109="Open",$L109="Partially received")),"Delivery overdue",""))))</f>
        <v/>
      </c>
      <c r="T109" s="27"/>
      <c r="U109" s="50"/>
      <c r="V109" s="27"/>
      <c r="W109" s="27"/>
      <c r="X109" s="48" t="str">
        <f aca="false">IF(OR($U109="",$C109=""),"",$U109+IF($V109="",TermsDays,$V109))</f>
        <v/>
      </c>
      <c r="Y109" s="27"/>
      <c r="Z109" s="49" t="str">
        <f aca="false">IF($L109="Invoiced",COUNTIF($L$6:$L109,"Invoiced"),"")</f>
        <v/>
      </c>
    </row>
    <row r="110" customFormat="false" ht="15" hidden="false" customHeight="false" outlineLevel="0" collapsed="false">
      <c r="A110" s="45" t="str">
        <f aca="false">IF($C110="","",POStart+COUNTA($C$6:$C110)-1)</f>
        <v/>
      </c>
      <c r="B110" s="45" t="str">
        <f aca="false">IF($A110="","",POPrefix&amp;$A110)</f>
        <v/>
      </c>
      <c r="C110" s="50"/>
      <c r="D110" s="27"/>
      <c r="E110" s="27"/>
      <c r="F110" s="27"/>
      <c r="G110" s="27"/>
      <c r="H110" s="27"/>
      <c r="I110" s="27"/>
      <c r="J110" s="27"/>
      <c r="K110" s="50"/>
      <c r="L110" s="27"/>
      <c r="M110" s="28"/>
      <c r="N110" s="28"/>
      <c r="O110" s="28"/>
      <c r="P110" s="26" t="str">
        <f aca="false">IF($C110="","",IF(OR($L110="Closed",$L110="Cancelled"),0,MAX(0,$M110-$O110)))</f>
        <v/>
      </c>
      <c r="Q110" s="45" t="str">
        <f aca="true">IF(OR($C110="",$L110="Closed",$L110="Cancelled",$L110="Invoiced"),"",MAX(0,TODAY()-$C110))</f>
        <v/>
      </c>
      <c r="R110" s="50"/>
      <c r="S110" s="47" t="str">
        <f aca="true">IF($C110="","",IF(AND($O110&gt;0,$O110&gt;$M110),"Invoice over PO - check",IF(AND($J110="Pending approval",TODAY()-$C110&gt;AlertDays),"Approval waiting",IF(AND($R110&lt;&gt;"",$R110&lt;TODAY(),OR($L110="Open",$L110="Partially received")),"Delivery overdue",""))))</f>
        <v/>
      </c>
      <c r="T110" s="27"/>
      <c r="U110" s="50"/>
      <c r="V110" s="27"/>
      <c r="W110" s="27"/>
      <c r="X110" s="48" t="str">
        <f aca="false">IF(OR($U110="",$C110=""),"",$U110+IF($V110="",TermsDays,$V110))</f>
        <v/>
      </c>
      <c r="Y110" s="27"/>
      <c r="Z110" s="49" t="str">
        <f aca="false">IF($L110="Invoiced",COUNTIF($L$6:$L110,"Invoiced"),"")</f>
        <v/>
      </c>
    </row>
    <row r="111" customFormat="false" ht="15" hidden="false" customHeight="false" outlineLevel="0" collapsed="false">
      <c r="A111" s="45" t="str">
        <f aca="false">IF($C111="","",POStart+COUNTA($C$6:$C111)-1)</f>
        <v/>
      </c>
      <c r="B111" s="45" t="str">
        <f aca="false">IF($A111="","",POPrefix&amp;$A111)</f>
        <v/>
      </c>
      <c r="C111" s="50"/>
      <c r="D111" s="27"/>
      <c r="E111" s="27"/>
      <c r="F111" s="27"/>
      <c r="G111" s="27"/>
      <c r="H111" s="27"/>
      <c r="I111" s="27"/>
      <c r="J111" s="27"/>
      <c r="K111" s="50"/>
      <c r="L111" s="27"/>
      <c r="M111" s="28"/>
      <c r="N111" s="28"/>
      <c r="O111" s="28"/>
      <c r="P111" s="26" t="str">
        <f aca="false">IF($C111="","",IF(OR($L111="Closed",$L111="Cancelled"),0,MAX(0,$M111-$O111)))</f>
        <v/>
      </c>
      <c r="Q111" s="45" t="str">
        <f aca="true">IF(OR($C111="",$L111="Closed",$L111="Cancelled",$L111="Invoiced"),"",MAX(0,TODAY()-$C111))</f>
        <v/>
      </c>
      <c r="R111" s="50"/>
      <c r="S111" s="47" t="str">
        <f aca="true">IF($C111="","",IF(AND($O111&gt;0,$O111&gt;$M111),"Invoice over PO - check",IF(AND($J111="Pending approval",TODAY()-$C111&gt;AlertDays),"Approval waiting",IF(AND($R111&lt;&gt;"",$R111&lt;TODAY(),OR($L111="Open",$L111="Partially received")),"Delivery overdue",""))))</f>
        <v/>
      </c>
      <c r="T111" s="27"/>
      <c r="U111" s="50"/>
      <c r="V111" s="27"/>
      <c r="W111" s="27"/>
      <c r="X111" s="48" t="str">
        <f aca="false">IF(OR($U111="",$C111=""),"",$U111+IF($V111="",TermsDays,$V111))</f>
        <v/>
      </c>
      <c r="Y111" s="27"/>
      <c r="Z111" s="49" t="str">
        <f aca="false">IF($L111="Invoiced",COUNTIF($L$6:$L111,"Invoiced"),"")</f>
        <v/>
      </c>
    </row>
    <row r="112" customFormat="false" ht="15" hidden="false" customHeight="false" outlineLevel="0" collapsed="false">
      <c r="A112" s="45" t="str">
        <f aca="false">IF($C112="","",POStart+COUNTA($C$6:$C112)-1)</f>
        <v/>
      </c>
      <c r="B112" s="45" t="str">
        <f aca="false">IF($A112="","",POPrefix&amp;$A112)</f>
        <v/>
      </c>
      <c r="C112" s="50"/>
      <c r="D112" s="27"/>
      <c r="E112" s="27"/>
      <c r="F112" s="27"/>
      <c r="G112" s="27"/>
      <c r="H112" s="27"/>
      <c r="I112" s="27"/>
      <c r="J112" s="27"/>
      <c r="K112" s="50"/>
      <c r="L112" s="27"/>
      <c r="M112" s="28"/>
      <c r="N112" s="28"/>
      <c r="O112" s="28"/>
      <c r="P112" s="26" t="str">
        <f aca="false">IF($C112="","",IF(OR($L112="Closed",$L112="Cancelled"),0,MAX(0,$M112-$O112)))</f>
        <v/>
      </c>
      <c r="Q112" s="45" t="str">
        <f aca="true">IF(OR($C112="",$L112="Closed",$L112="Cancelled",$L112="Invoiced"),"",MAX(0,TODAY()-$C112))</f>
        <v/>
      </c>
      <c r="R112" s="50"/>
      <c r="S112" s="47" t="str">
        <f aca="true">IF($C112="","",IF(AND($O112&gt;0,$O112&gt;$M112),"Invoice over PO - check",IF(AND($J112="Pending approval",TODAY()-$C112&gt;AlertDays),"Approval waiting",IF(AND($R112&lt;&gt;"",$R112&lt;TODAY(),OR($L112="Open",$L112="Partially received")),"Delivery overdue",""))))</f>
        <v/>
      </c>
      <c r="T112" s="27"/>
      <c r="U112" s="50"/>
      <c r="V112" s="27"/>
      <c r="W112" s="27"/>
      <c r="X112" s="48" t="str">
        <f aca="false">IF(OR($U112="",$C112=""),"",$U112+IF($V112="",TermsDays,$V112))</f>
        <v/>
      </c>
      <c r="Y112" s="27"/>
      <c r="Z112" s="49" t="str">
        <f aca="false">IF($L112="Invoiced",COUNTIF($L$6:$L112,"Invoiced"),"")</f>
        <v/>
      </c>
    </row>
    <row r="113" customFormat="false" ht="15" hidden="false" customHeight="false" outlineLevel="0" collapsed="false">
      <c r="A113" s="45" t="str">
        <f aca="false">IF($C113="","",POStart+COUNTA($C$6:$C113)-1)</f>
        <v/>
      </c>
      <c r="B113" s="45" t="str">
        <f aca="false">IF($A113="","",POPrefix&amp;$A113)</f>
        <v/>
      </c>
      <c r="C113" s="50"/>
      <c r="D113" s="27"/>
      <c r="E113" s="27"/>
      <c r="F113" s="27"/>
      <c r="G113" s="27"/>
      <c r="H113" s="27"/>
      <c r="I113" s="27"/>
      <c r="J113" s="27"/>
      <c r="K113" s="50"/>
      <c r="L113" s="27"/>
      <c r="M113" s="28"/>
      <c r="N113" s="28"/>
      <c r="O113" s="28"/>
      <c r="P113" s="26" t="str">
        <f aca="false">IF($C113="","",IF(OR($L113="Closed",$L113="Cancelled"),0,MAX(0,$M113-$O113)))</f>
        <v/>
      </c>
      <c r="Q113" s="45" t="str">
        <f aca="true">IF(OR($C113="",$L113="Closed",$L113="Cancelled",$L113="Invoiced"),"",MAX(0,TODAY()-$C113))</f>
        <v/>
      </c>
      <c r="R113" s="50"/>
      <c r="S113" s="47" t="str">
        <f aca="true">IF($C113="","",IF(AND($O113&gt;0,$O113&gt;$M113),"Invoice over PO - check",IF(AND($J113="Pending approval",TODAY()-$C113&gt;AlertDays),"Approval waiting",IF(AND($R113&lt;&gt;"",$R113&lt;TODAY(),OR($L113="Open",$L113="Partially received")),"Delivery overdue",""))))</f>
        <v/>
      </c>
      <c r="T113" s="27"/>
      <c r="U113" s="50"/>
      <c r="V113" s="27"/>
      <c r="W113" s="27"/>
      <c r="X113" s="48" t="str">
        <f aca="false">IF(OR($U113="",$C113=""),"",$U113+IF($V113="",TermsDays,$V113))</f>
        <v/>
      </c>
      <c r="Y113" s="27"/>
      <c r="Z113" s="49" t="str">
        <f aca="false">IF($L113="Invoiced",COUNTIF($L$6:$L113,"Invoiced"),"")</f>
        <v/>
      </c>
    </row>
    <row r="114" customFormat="false" ht="15" hidden="false" customHeight="false" outlineLevel="0" collapsed="false">
      <c r="A114" s="45" t="str">
        <f aca="false">IF($C114="","",POStart+COUNTA($C$6:$C114)-1)</f>
        <v/>
      </c>
      <c r="B114" s="45" t="str">
        <f aca="false">IF($A114="","",POPrefix&amp;$A114)</f>
        <v/>
      </c>
      <c r="C114" s="50"/>
      <c r="D114" s="27"/>
      <c r="E114" s="27"/>
      <c r="F114" s="27"/>
      <c r="G114" s="27"/>
      <c r="H114" s="27"/>
      <c r="I114" s="27"/>
      <c r="J114" s="27"/>
      <c r="K114" s="50"/>
      <c r="L114" s="27"/>
      <c r="M114" s="28"/>
      <c r="N114" s="28"/>
      <c r="O114" s="28"/>
      <c r="P114" s="26" t="str">
        <f aca="false">IF($C114="","",IF(OR($L114="Closed",$L114="Cancelled"),0,MAX(0,$M114-$O114)))</f>
        <v/>
      </c>
      <c r="Q114" s="45" t="str">
        <f aca="true">IF(OR($C114="",$L114="Closed",$L114="Cancelled",$L114="Invoiced"),"",MAX(0,TODAY()-$C114))</f>
        <v/>
      </c>
      <c r="R114" s="50"/>
      <c r="S114" s="47" t="str">
        <f aca="true">IF($C114="","",IF(AND($O114&gt;0,$O114&gt;$M114),"Invoice over PO - check",IF(AND($J114="Pending approval",TODAY()-$C114&gt;AlertDays),"Approval waiting",IF(AND($R114&lt;&gt;"",$R114&lt;TODAY(),OR($L114="Open",$L114="Partially received")),"Delivery overdue",""))))</f>
        <v/>
      </c>
      <c r="T114" s="27"/>
      <c r="U114" s="50"/>
      <c r="V114" s="27"/>
      <c r="W114" s="27"/>
      <c r="X114" s="48" t="str">
        <f aca="false">IF(OR($U114="",$C114=""),"",$U114+IF($V114="",TermsDays,$V114))</f>
        <v/>
      </c>
      <c r="Y114" s="27"/>
      <c r="Z114" s="49" t="str">
        <f aca="false">IF($L114="Invoiced",COUNTIF($L$6:$L114,"Invoiced"),"")</f>
        <v/>
      </c>
    </row>
    <row r="115" customFormat="false" ht="15" hidden="false" customHeight="false" outlineLevel="0" collapsed="false">
      <c r="A115" s="45" t="str">
        <f aca="false">IF($C115="","",POStart+COUNTA($C$6:$C115)-1)</f>
        <v/>
      </c>
      <c r="B115" s="45" t="str">
        <f aca="false">IF($A115="","",POPrefix&amp;$A115)</f>
        <v/>
      </c>
      <c r="C115" s="50"/>
      <c r="D115" s="27"/>
      <c r="E115" s="27"/>
      <c r="F115" s="27"/>
      <c r="G115" s="27"/>
      <c r="H115" s="27"/>
      <c r="I115" s="27"/>
      <c r="J115" s="27"/>
      <c r="K115" s="50"/>
      <c r="L115" s="27"/>
      <c r="M115" s="28"/>
      <c r="N115" s="28"/>
      <c r="O115" s="28"/>
      <c r="P115" s="26" t="str">
        <f aca="false">IF($C115="","",IF(OR($L115="Closed",$L115="Cancelled"),0,MAX(0,$M115-$O115)))</f>
        <v/>
      </c>
      <c r="Q115" s="45" t="str">
        <f aca="true">IF(OR($C115="",$L115="Closed",$L115="Cancelled",$L115="Invoiced"),"",MAX(0,TODAY()-$C115))</f>
        <v/>
      </c>
      <c r="R115" s="50"/>
      <c r="S115" s="47" t="str">
        <f aca="true">IF($C115="","",IF(AND($O115&gt;0,$O115&gt;$M115),"Invoice over PO - check",IF(AND($J115="Pending approval",TODAY()-$C115&gt;AlertDays),"Approval waiting",IF(AND($R115&lt;&gt;"",$R115&lt;TODAY(),OR($L115="Open",$L115="Partially received")),"Delivery overdue",""))))</f>
        <v/>
      </c>
      <c r="T115" s="27"/>
      <c r="U115" s="50"/>
      <c r="V115" s="27"/>
      <c r="W115" s="27"/>
      <c r="X115" s="48" t="str">
        <f aca="false">IF(OR($U115="",$C115=""),"",$U115+IF($V115="",TermsDays,$V115))</f>
        <v/>
      </c>
      <c r="Y115" s="27"/>
      <c r="Z115" s="49" t="str">
        <f aca="false">IF($L115="Invoiced",COUNTIF($L$6:$L115,"Invoiced"),"")</f>
        <v/>
      </c>
    </row>
    <row r="116" customFormat="false" ht="15" hidden="false" customHeight="false" outlineLevel="0" collapsed="false">
      <c r="A116" s="45" t="str">
        <f aca="false">IF($C116="","",POStart+COUNTA($C$6:$C116)-1)</f>
        <v/>
      </c>
      <c r="B116" s="45" t="str">
        <f aca="false">IF($A116="","",POPrefix&amp;$A116)</f>
        <v/>
      </c>
      <c r="C116" s="50"/>
      <c r="D116" s="27"/>
      <c r="E116" s="27"/>
      <c r="F116" s="27"/>
      <c r="G116" s="27"/>
      <c r="H116" s="27"/>
      <c r="I116" s="27"/>
      <c r="J116" s="27"/>
      <c r="K116" s="50"/>
      <c r="L116" s="27"/>
      <c r="M116" s="28"/>
      <c r="N116" s="28"/>
      <c r="O116" s="28"/>
      <c r="P116" s="26" t="str">
        <f aca="false">IF($C116="","",IF(OR($L116="Closed",$L116="Cancelled"),0,MAX(0,$M116-$O116)))</f>
        <v/>
      </c>
      <c r="Q116" s="45" t="str">
        <f aca="true">IF(OR($C116="",$L116="Closed",$L116="Cancelled",$L116="Invoiced"),"",MAX(0,TODAY()-$C116))</f>
        <v/>
      </c>
      <c r="R116" s="50"/>
      <c r="S116" s="47" t="str">
        <f aca="true">IF($C116="","",IF(AND($O116&gt;0,$O116&gt;$M116),"Invoice over PO - check",IF(AND($J116="Pending approval",TODAY()-$C116&gt;AlertDays),"Approval waiting",IF(AND($R116&lt;&gt;"",$R116&lt;TODAY(),OR($L116="Open",$L116="Partially received")),"Delivery overdue",""))))</f>
        <v/>
      </c>
      <c r="T116" s="27"/>
      <c r="U116" s="50"/>
      <c r="V116" s="27"/>
      <c r="W116" s="27"/>
      <c r="X116" s="48" t="str">
        <f aca="false">IF(OR($U116="",$C116=""),"",$U116+IF($V116="",TermsDays,$V116))</f>
        <v/>
      </c>
      <c r="Y116" s="27"/>
      <c r="Z116" s="49" t="str">
        <f aca="false">IF($L116="Invoiced",COUNTIF($L$6:$L116,"Invoiced"),"")</f>
        <v/>
      </c>
    </row>
    <row r="117" customFormat="false" ht="15" hidden="false" customHeight="false" outlineLevel="0" collapsed="false">
      <c r="A117" s="45" t="str">
        <f aca="false">IF($C117="","",POStart+COUNTA($C$6:$C117)-1)</f>
        <v/>
      </c>
      <c r="B117" s="45" t="str">
        <f aca="false">IF($A117="","",POPrefix&amp;$A117)</f>
        <v/>
      </c>
      <c r="C117" s="50"/>
      <c r="D117" s="27"/>
      <c r="E117" s="27"/>
      <c r="F117" s="27"/>
      <c r="G117" s="27"/>
      <c r="H117" s="27"/>
      <c r="I117" s="27"/>
      <c r="J117" s="27"/>
      <c r="K117" s="50"/>
      <c r="L117" s="27"/>
      <c r="M117" s="28"/>
      <c r="N117" s="28"/>
      <c r="O117" s="28"/>
      <c r="P117" s="26" t="str">
        <f aca="false">IF($C117="","",IF(OR($L117="Closed",$L117="Cancelled"),0,MAX(0,$M117-$O117)))</f>
        <v/>
      </c>
      <c r="Q117" s="45" t="str">
        <f aca="true">IF(OR($C117="",$L117="Closed",$L117="Cancelled",$L117="Invoiced"),"",MAX(0,TODAY()-$C117))</f>
        <v/>
      </c>
      <c r="R117" s="50"/>
      <c r="S117" s="47" t="str">
        <f aca="true">IF($C117="","",IF(AND($O117&gt;0,$O117&gt;$M117),"Invoice over PO - check",IF(AND($J117="Pending approval",TODAY()-$C117&gt;AlertDays),"Approval waiting",IF(AND($R117&lt;&gt;"",$R117&lt;TODAY(),OR($L117="Open",$L117="Partially received")),"Delivery overdue",""))))</f>
        <v/>
      </c>
      <c r="T117" s="27"/>
      <c r="U117" s="50"/>
      <c r="V117" s="27"/>
      <c r="W117" s="27"/>
      <c r="X117" s="48" t="str">
        <f aca="false">IF(OR($U117="",$C117=""),"",$U117+IF($V117="",TermsDays,$V117))</f>
        <v/>
      </c>
      <c r="Y117" s="27"/>
      <c r="Z117" s="49" t="str">
        <f aca="false">IF($L117="Invoiced",COUNTIF($L$6:$L117,"Invoiced"),"")</f>
        <v/>
      </c>
    </row>
    <row r="118" customFormat="false" ht="15" hidden="false" customHeight="false" outlineLevel="0" collapsed="false">
      <c r="A118" s="45" t="str">
        <f aca="false">IF($C118="","",POStart+COUNTA($C$6:$C118)-1)</f>
        <v/>
      </c>
      <c r="B118" s="45" t="str">
        <f aca="false">IF($A118="","",POPrefix&amp;$A118)</f>
        <v/>
      </c>
      <c r="C118" s="50"/>
      <c r="D118" s="27"/>
      <c r="E118" s="27"/>
      <c r="F118" s="27"/>
      <c r="G118" s="27"/>
      <c r="H118" s="27"/>
      <c r="I118" s="27"/>
      <c r="J118" s="27"/>
      <c r="K118" s="50"/>
      <c r="L118" s="27"/>
      <c r="M118" s="28"/>
      <c r="N118" s="28"/>
      <c r="O118" s="28"/>
      <c r="P118" s="26" t="str">
        <f aca="false">IF($C118="","",IF(OR($L118="Closed",$L118="Cancelled"),0,MAX(0,$M118-$O118)))</f>
        <v/>
      </c>
      <c r="Q118" s="45" t="str">
        <f aca="true">IF(OR($C118="",$L118="Closed",$L118="Cancelled",$L118="Invoiced"),"",MAX(0,TODAY()-$C118))</f>
        <v/>
      </c>
      <c r="R118" s="50"/>
      <c r="S118" s="47" t="str">
        <f aca="true">IF($C118="","",IF(AND($O118&gt;0,$O118&gt;$M118),"Invoice over PO - check",IF(AND($J118="Pending approval",TODAY()-$C118&gt;AlertDays),"Approval waiting",IF(AND($R118&lt;&gt;"",$R118&lt;TODAY(),OR($L118="Open",$L118="Partially received")),"Delivery overdue",""))))</f>
        <v/>
      </c>
      <c r="T118" s="27"/>
      <c r="U118" s="50"/>
      <c r="V118" s="27"/>
      <c r="W118" s="27"/>
      <c r="X118" s="48" t="str">
        <f aca="false">IF(OR($U118="",$C118=""),"",$U118+IF($V118="",TermsDays,$V118))</f>
        <v/>
      </c>
      <c r="Y118" s="27"/>
      <c r="Z118" s="49" t="str">
        <f aca="false">IF($L118="Invoiced",COUNTIF($L$6:$L118,"Invoiced"),"")</f>
        <v/>
      </c>
    </row>
    <row r="119" customFormat="false" ht="15" hidden="false" customHeight="false" outlineLevel="0" collapsed="false">
      <c r="A119" s="45" t="str">
        <f aca="false">IF($C119="","",POStart+COUNTA($C$6:$C119)-1)</f>
        <v/>
      </c>
      <c r="B119" s="45" t="str">
        <f aca="false">IF($A119="","",POPrefix&amp;$A119)</f>
        <v/>
      </c>
      <c r="C119" s="50"/>
      <c r="D119" s="27"/>
      <c r="E119" s="27"/>
      <c r="F119" s="27"/>
      <c r="G119" s="27"/>
      <c r="H119" s="27"/>
      <c r="I119" s="27"/>
      <c r="J119" s="27"/>
      <c r="K119" s="50"/>
      <c r="L119" s="27"/>
      <c r="M119" s="28"/>
      <c r="N119" s="28"/>
      <c r="O119" s="28"/>
      <c r="P119" s="26" t="str">
        <f aca="false">IF($C119="","",IF(OR($L119="Closed",$L119="Cancelled"),0,MAX(0,$M119-$O119)))</f>
        <v/>
      </c>
      <c r="Q119" s="45" t="str">
        <f aca="true">IF(OR($C119="",$L119="Closed",$L119="Cancelled",$L119="Invoiced"),"",MAX(0,TODAY()-$C119))</f>
        <v/>
      </c>
      <c r="R119" s="50"/>
      <c r="S119" s="47" t="str">
        <f aca="true">IF($C119="","",IF(AND($O119&gt;0,$O119&gt;$M119),"Invoice over PO - check",IF(AND($J119="Pending approval",TODAY()-$C119&gt;AlertDays),"Approval waiting",IF(AND($R119&lt;&gt;"",$R119&lt;TODAY(),OR($L119="Open",$L119="Partially received")),"Delivery overdue",""))))</f>
        <v/>
      </c>
      <c r="T119" s="27"/>
      <c r="U119" s="50"/>
      <c r="V119" s="27"/>
      <c r="W119" s="27"/>
      <c r="X119" s="48" t="str">
        <f aca="false">IF(OR($U119="",$C119=""),"",$U119+IF($V119="",TermsDays,$V119))</f>
        <v/>
      </c>
      <c r="Y119" s="27"/>
      <c r="Z119" s="49" t="str">
        <f aca="false">IF($L119="Invoiced",COUNTIF($L$6:$L119,"Invoiced"),"")</f>
        <v/>
      </c>
    </row>
    <row r="120" customFormat="false" ht="15" hidden="false" customHeight="false" outlineLevel="0" collapsed="false">
      <c r="A120" s="45" t="str">
        <f aca="false">IF($C120="","",POStart+COUNTA($C$6:$C120)-1)</f>
        <v/>
      </c>
      <c r="B120" s="45" t="str">
        <f aca="false">IF($A120="","",POPrefix&amp;$A120)</f>
        <v/>
      </c>
      <c r="C120" s="50"/>
      <c r="D120" s="27"/>
      <c r="E120" s="27"/>
      <c r="F120" s="27"/>
      <c r="G120" s="27"/>
      <c r="H120" s="27"/>
      <c r="I120" s="27"/>
      <c r="J120" s="27"/>
      <c r="K120" s="50"/>
      <c r="L120" s="27"/>
      <c r="M120" s="28"/>
      <c r="N120" s="28"/>
      <c r="O120" s="28"/>
      <c r="P120" s="26" t="str">
        <f aca="false">IF($C120="","",IF(OR($L120="Closed",$L120="Cancelled"),0,MAX(0,$M120-$O120)))</f>
        <v/>
      </c>
      <c r="Q120" s="45" t="str">
        <f aca="true">IF(OR($C120="",$L120="Closed",$L120="Cancelled",$L120="Invoiced"),"",MAX(0,TODAY()-$C120))</f>
        <v/>
      </c>
      <c r="R120" s="50"/>
      <c r="S120" s="47" t="str">
        <f aca="true">IF($C120="","",IF(AND($O120&gt;0,$O120&gt;$M120),"Invoice over PO - check",IF(AND($J120="Pending approval",TODAY()-$C120&gt;AlertDays),"Approval waiting",IF(AND($R120&lt;&gt;"",$R120&lt;TODAY(),OR($L120="Open",$L120="Partially received")),"Delivery overdue",""))))</f>
        <v/>
      </c>
      <c r="T120" s="27"/>
      <c r="U120" s="50"/>
      <c r="V120" s="27"/>
      <c r="W120" s="27"/>
      <c r="X120" s="48" t="str">
        <f aca="false">IF(OR($U120="",$C120=""),"",$U120+IF($V120="",TermsDays,$V120))</f>
        <v/>
      </c>
      <c r="Y120" s="27"/>
      <c r="Z120" s="49" t="str">
        <f aca="false">IF($L120="Invoiced",COUNTIF($L$6:$L120,"Invoiced"),"")</f>
        <v/>
      </c>
    </row>
    <row r="121" customFormat="false" ht="15" hidden="false" customHeight="false" outlineLevel="0" collapsed="false">
      <c r="A121" s="45" t="str">
        <f aca="false">IF($C121="","",POStart+COUNTA($C$6:$C121)-1)</f>
        <v/>
      </c>
      <c r="B121" s="45" t="str">
        <f aca="false">IF($A121="","",POPrefix&amp;$A121)</f>
        <v/>
      </c>
      <c r="C121" s="50"/>
      <c r="D121" s="27"/>
      <c r="E121" s="27"/>
      <c r="F121" s="27"/>
      <c r="G121" s="27"/>
      <c r="H121" s="27"/>
      <c r="I121" s="27"/>
      <c r="J121" s="27"/>
      <c r="K121" s="50"/>
      <c r="L121" s="27"/>
      <c r="M121" s="28"/>
      <c r="N121" s="28"/>
      <c r="O121" s="28"/>
      <c r="P121" s="26" t="str">
        <f aca="false">IF($C121="","",IF(OR($L121="Closed",$L121="Cancelled"),0,MAX(0,$M121-$O121)))</f>
        <v/>
      </c>
      <c r="Q121" s="45" t="str">
        <f aca="true">IF(OR($C121="",$L121="Closed",$L121="Cancelled",$L121="Invoiced"),"",MAX(0,TODAY()-$C121))</f>
        <v/>
      </c>
      <c r="R121" s="50"/>
      <c r="S121" s="47" t="str">
        <f aca="true">IF($C121="","",IF(AND($O121&gt;0,$O121&gt;$M121),"Invoice over PO - check",IF(AND($J121="Pending approval",TODAY()-$C121&gt;AlertDays),"Approval waiting",IF(AND($R121&lt;&gt;"",$R121&lt;TODAY(),OR($L121="Open",$L121="Partially received")),"Delivery overdue",""))))</f>
        <v/>
      </c>
      <c r="T121" s="27"/>
      <c r="U121" s="50"/>
      <c r="V121" s="27"/>
      <c r="W121" s="27"/>
      <c r="X121" s="48" t="str">
        <f aca="false">IF(OR($U121="",$C121=""),"",$U121+IF($V121="",TermsDays,$V121))</f>
        <v/>
      </c>
      <c r="Y121" s="27"/>
      <c r="Z121" s="49" t="str">
        <f aca="false">IF($L121="Invoiced",COUNTIF($L$6:$L121,"Invoiced"),"")</f>
        <v/>
      </c>
    </row>
    <row r="122" customFormat="false" ht="15" hidden="false" customHeight="false" outlineLevel="0" collapsed="false">
      <c r="A122" s="45" t="str">
        <f aca="false">IF($C122="","",POStart+COUNTA($C$6:$C122)-1)</f>
        <v/>
      </c>
      <c r="B122" s="45" t="str">
        <f aca="false">IF($A122="","",POPrefix&amp;$A122)</f>
        <v/>
      </c>
      <c r="C122" s="50"/>
      <c r="D122" s="27"/>
      <c r="E122" s="27"/>
      <c r="F122" s="27"/>
      <c r="G122" s="27"/>
      <c r="H122" s="27"/>
      <c r="I122" s="27"/>
      <c r="J122" s="27"/>
      <c r="K122" s="50"/>
      <c r="L122" s="27"/>
      <c r="M122" s="28"/>
      <c r="N122" s="28"/>
      <c r="O122" s="28"/>
      <c r="P122" s="26" t="str">
        <f aca="false">IF($C122="","",IF(OR($L122="Closed",$L122="Cancelled"),0,MAX(0,$M122-$O122)))</f>
        <v/>
      </c>
      <c r="Q122" s="45" t="str">
        <f aca="true">IF(OR($C122="",$L122="Closed",$L122="Cancelled",$L122="Invoiced"),"",MAX(0,TODAY()-$C122))</f>
        <v/>
      </c>
      <c r="R122" s="50"/>
      <c r="S122" s="47" t="str">
        <f aca="true">IF($C122="","",IF(AND($O122&gt;0,$O122&gt;$M122),"Invoice over PO - check",IF(AND($J122="Pending approval",TODAY()-$C122&gt;AlertDays),"Approval waiting",IF(AND($R122&lt;&gt;"",$R122&lt;TODAY(),OR($L122="Open",$L122="Partially received")),"Delivery overdue",""))))</f>
        <v/>
      </c>
      <c r="T122" s="27"/>
      <c r="U122" s="50"/>
      <c r="V122" s="27"/>
      <c r="W122" s="27"/>
      <c r="X122" s="48" t="str">
        <f aca="false">IF(OR($U122="",$C122=""),"",$U122+IF($V122="",TermsDays,$V122))</f>
        <v/>
      </c>
      <c r="Y122" s="27"/>
      <c r="Z122" s="49" t="str">
        <f aca="false">IF($L122="Invoiced",COUNTIF($L$6:$L122,"Invoiced"),"")</f>
        <v/>
      </c>
    </row>
    <row r="123" customFormat="false" ht="15" hidden="false" customHeight="false" outlineLevel="0" collapsed="false">
      <c r="A123" s="45" t="str">
        <f aca="false">IF($C123="","",POStart+COUNTA($C$6:$C123)-1)</f>
        <v/>
      </c>
      <c r="B123" s="45" t="str">
        <f aca="false">IF($A123="","",POPrefix&amp;$A123)</f>
        <v/>
      </c>
      <c r="C123" s="50"/>
      <c r="D123" s="27"/>
      <c r="E123" s="27"/>
      <c r="F123" s="27"/>
      <c r="G123" s="27"/>
      <c r="H123" s="27"/>
      <c r="I123" s="27"/>
      <c r="J123" s="27"/>
      <c r="K123" s="50"/>
      <c r="L123" s="27"/>
      <c r="M123" s="28"/>
      <c r="N123" s="28"/>
      <c r="O123" s="28"/>
      <c r="P123" s="26" t="str">
        <f aca="false">IF($C123="","",IF(OR($L123="Closed",$L123="Cancelled"),0,MAX(0,$M123-$O123)))</f>
        <v/>
      </c>
      <c r="Q123" s="45" t="str">
        <f aca="true">IF(OR($C123="",$L123="Closed",$L123="Cancelled",$L123="Invoiced"),"",MAX(0,TODAY()-$C123))</f>
        <v/>
      </c>
      <c r="R123" s="50"/>
      <c r="S123" s="47" t="str">
        <f aca="true">IF($C123="","",IF(AND($O123&gt;0,$O123&gt;$M123),"Invoice over PO - check",IF(AND($J123="Pending approval",TODAY()-$C123&gt;AlertDays),"Approval waiting",IF(AND($R123&lt;&gt;"",$R123&lt;TODAY(),OR($L123="Open",$L123="Partially received")),"Delivery overdue",""))))</f>
        <v/>
      </c>
      <c r="T123" s="27"/>
      <c r="U123" s="50"/>
      <c r="V123" s="27"/>
      <c r="W123" s="27"/>
      <c r="X123" s="48" t="str">
        <f aca="false">IF(OR($U123="",$C123=""),"",$U123+IF($V123="",TermsDays,$V123))</f>
        <v/>
      </c>
      <c r="Y123" s="27"/>
      <c r="Z123" s="49" t="str">
        <f aca="false">IF($L123="Invoiced",COUNTIF($L$6:$L123,"Invoiced"),"")</f>
        <v/>
      </c>
    </row>
    <row r="124" customFormat="false" ht="15" hidden="false" customHeight="false" outlineLevel="0" collapsed="false">
      <c r="A124" s="45" t="str">
        <f aca="false">IF($C124="","",POStart+COUNTA($C$6:$C124)-1)</f>
        <v/>
      </c>
      <c r="B124" s="45" t="str">
        <f aca="false">IF($A124="","",POPrefix&amp;$A124)</f>
        <v/>
      </c>
      <c r="C124" s="50"/>
      <c r="D124" s="27"/>
      <c r="E124" s="27"/>
      <c r="F124" s="27"/>
      <c r="G124" s="27"/>
      <c r="H124" s="27"/>
      <c r="I124" s="27"/>
      <c r="J124" s="27"/>
      <c r="K124" s="50"/>
      <c r="L124" s="27"/>
      <c r="M124" s="28"/>
      <c r="N124" s="28"/>
      <c r="O124" s="28"/>
      <c r="P124" s="26" t="str">
        <f aca="false">IF($C124="","",IF(OR($L124="Closed",$L124="Cancelled"),0,MAX(0,$M124-$O124)))</f>
        <v/>
      </c>
      <c r="Q124" s="45" t="str">
        <f aca="true">IF(OR($C124="",$L124="Closed",$L124="Cancelled",$L124="Invoiced"),"",MAX(0,TODAY()-$C124))</f>
        <v/>
      </c>
      <c r="R124" s="50"/>
      <c r="S124" s="47" t="str">
        <f aca="true">IF($C124="","",IF(AND($O124&gt;0,$O124&gt;$M124),"Invoice over PO - check",IF(AND($J124="Pending approval",TODAY()-$C124&gt;AlertDays),"Approval waiting",IF(AND($R124&lt;&gt;"",$R124&lt;TODAY(),OR($L124="Open",$L124="Partially received")),"Delivery overdue",""))))</f>
        <v/>
      </c>
      <c r="T124" s="27"/>
      <c r="U124" s="50"/>
      <c r="V124" s="27"/>
      <c r="W124" s="27"/>
      <c r="X124" s="48" t="str">
        <f aca="false">IF(OR($U124="",$C124=""),"",$U124+IF($V124="",TermsDays,$V124))</f>
        <v/>
      </c>
      <c r="Y124" s="27"/>
      <c r="Z124" s="49" t="str">
        <f aca="false">IF($L124="Invoiced",COUNTIF($L$6:$L124,"Invoiced"),"")</f>
        <v/>
      </c>
    </row>
    <row r="125" customFormat="false" ht="15" hidden="false" customHeight="false" outlineLevel="0" collapsed="false">
      <c r="A125" s="45" t="str">
        <f aca="false">IF($C125="","",POStart+COUNTA($C$6:$C125)-1)</f>
        <v/>
      </c>
      <c r="B125" s="45" t="str">
        <f aca="false">IF($A125="","",POPrefix&amp;$A125)</f>
        <v/>
      </c>
      <c r="C125" s="50"/>
      <c r="D125" s="27"/>
      <c r="E125" s="27"/>
      <c r="F125" s="27"/>
      <c r="G125" s="27"/>
      <c r="H125" s="27"/>
      <c r="I125" s="27"/>
      <c r="J125" s="27"/>
      <c r="K125" s="50"/>
      <c r="L125" s="27"/>
      <c r="M125" s="28"/>
      <c r="N125" s="28"/>
      <c r="O125" s="28"/>
      <c r="P125" s="26" t="str">
        <f aca="false">IF($C125="","",IF(OR($L125="Closed",$L125="Cancelled"),0,MAX(0,$M125-$O125)))</f>
        <v/>
      </c>
      <c r="Q125" s="45" t="str">
        <f aca="true">IF(OR($C125="",$L125="Closed",$L125="Cancelled",$L125="Invoiced"),"",MAX(0,TODAY()-$C125))</f>
        <v/>
      </c>
      <c r="R125" s="50"/>
      <c r="S125" s="47" t="str">
        <f aca="true">IF($C125="","",IF(AND($O125&gt;0,$O125&gt;$M125),"Invoice over PO - check",IF(AND($J125="Pending approval",TODAY()-$C125&gt;AlertDays),"Approval waiting",IF(AND($R125&lt;&gt;"",$R125&lt;TODAY(),OR($L125="Open",$L125="Partially received")),"Delivery overdue",""))))</f>
        <v/>
      </c>
      <c r="T125" s="27"/>
      <c r="U125" s="50"/>
      <c r="V125" s="27"/>
      <c r="W125" s="27"/>
      <c r="X125" s="48" t="str">
        <f aca="false">IF(OR($U125="",$C125=""),"",$U125+IF($V125="",TermsDays,$V125))</f>
        <v/>
      </c>
      <c r="Y125" s="27"/>
      <c r="Z125" s="49" t="str">
        <f aca="false">IF($L125="Invoiced",COUNTIF($L$6:$L125,"Invoiced"),"")</f>
        <v/>
      </c>
    </row>
    <row r="126" customFormat="false" ht="15" hidden="false" customHeight="false" outlineLevel="0" collapsed="false">
      <c r="A126" s="45" t="str">
        <f aca="false">IF($C126="","",POStart+COUNTA($C$6:$C126)-1)</f>
        <v/>
      </c>
      <c r="B126" s="45" t="str">
        <f aca="false">IF($A126="","",POPrefix&amp;$A126)</f>
        <v/>
      </c>
      <c r="C126" s="50"/>
      <c r="D126" s="27"/>
      <c r="E126" s="27"/>
      <c r="F126" s="27"/>
      <c r="G126" s="27"/>
      <c r="H126" s="27"/>
      <c r="I126" s="27"/>
      <c r="J126" s="27"/>
      <c r="K126" s="50"/>
      <c r="L126" s="27"/>
      <c r="M126" s="28"/>
      <c r="N126" s="28"/>
      <c r="O126" s="28"/>
      <c r="P126" s="26" t="str">
        <f aca="false">IF($C126="","",IF(OR($L126="Closed",$L126="Cancelled"),0,MAX(0,$M126-$O126)))</f>
        <v/>
      </c>
      <c r="Q126" s="45" t="str">
        <f aca="true">IF(OR($C126="",$L126="Closed",$L126="Cancelled",$L126="Invoiced"),"",MAX(0,TODAY()-$C126))</f>
        <v/>
      </c>
      <c r="R126" s="50"/>
      <c r="S126" s="47" t="str">
        <f aca="true">IF($C126="","",IF(AND($O126&gt;0,$O126&gt;$M126),"Invoice over PO - check",IF(AND($J126="Pending approval",TODAY()-$C126&gt;AlertDays),"Approval waiting",IF(AND($R126&lt;&gt;"",$R126&lt;TODAY(),OR($L126="Open",$L126="Partially received")),"Delivery overdue",""))))</f>
        <v/>
      </c>
      <c r="T126" s="27"/>
      <c r="U126" s="50"/>
      <c r="V126" s="27"/>
      <c r="W126" s="27"/>
      <c r="X126" s="48" t="str">
        <f aca="false">IF(OR($U126="",$C126=""),"",$U126+IF($V126="",TermsDays,$V126))</f>
        <v/>
      </c>
      <c r="Y126" s="27"/>
      <c r="Z126" s="49" t="str">
        <f aca="false">IF($L126="Invoiced",COUNTIF($L$6:$L126,"Invoiced"),"")</f>
        <v/>
      </c>
    </row>
    <row r="127" customFormat="false" ht="15" hidden="false" customHeight="false" outlineLevel="0" collapsed="false">
      <c r="A127" s="45" t="str">
        <f aca="false">IF($C127="","",POStart+COUNTA($C$6:$C127)-1)</f>
        <v/>
      </c>
      <c r="B127" s="45" t="str">
        <f aca="false">IF($A127="","",POPrefix&amp;$A127)</f>
        <v/>
      </c>
      <c r="C127" s="50"/>
      <c r="D127" s="27"/>
      <c r="E127" s="27"/>
      <c r="F127" s="27"/>
      <c r="G127" s="27"/>
      <c r="H127" s="27"/>
      <c r="I127" s="27"/>
      <c r="J127" s="27"/>
      <c r="K127" s="50"/>
      <c r="L127" s="27"/>
      <c r="M127" s="28"/>
      <c r="N127" s="28"/>
      <c r="O127" s="28"/>
      <c r="P127" s="26" t="str">
        <f aca="false">IF($C127="","",IF(OR($L127="Closed",$L127="Cancelled"),0,MAX(0,$M127-$O127)))</f>
        <v/>
      </c>
      <c r="Q127" s="45" t="str">
        <f aca="true">IF(OR($C127="",$L127="Closed",$L127="Cancelled",$L127="Invoiced"),"",MAX(0,TODAY()-$C127))</f>
        <v/>
      </c>
      <c r="R127" s="50"/>
      <c r="S127" s="47" t="str">
        <f aca="true">IF($C127="","",IF(AND($O127&gt;0,$O127&gt;$M127),"Invoice over PO - check",IF(AND($J127="Pending approval",TODAY()-$C127&gt;AlertDays),"Approval waiting",IF(AND($R127&lt;&gt;"",$R127&lt;TODAY(),OR($L127="Open",$L127="Partially received")),"Delivery overdue",""))))</f>
        <v/>
      </c>
      <c r="T127" s="27"/>
      <c r="U127" s="50"/>
      <c r="V127" s="27"/>
      <c r="W127" s="27"/>
      <c r="X127" s="48" t="str">
        <f aca="false">IF(OR($U127="",$C127=""),"",$U127+IF($V127="",TermsDays,$V127))</f>
        <v/>
      </c>
      <c r="Y127" s="27"/>
      <c r="Z127" s="49" t="str">
        <f aca="false">IF($L127="Invoiced",COUNTIF($L$6:$L127,"Invoiced"),"")</f>
        <v/>
      </c>
    </row>
    <row r="128" customFormat="false" ht="15" hidden="false" customHeight="false" outlineLevel="0" collapsed="false">
      <c r="A128" s="45" t="str">
        <f aca="false">IF($C128="","",POStart+COUNTA($C$6:$C128)-1)</f>
        <v/>
      </c>
      <c r="B128" s="45" t="str">
        <f aca="false">IF($A128="","",POPrefix&amp;$A128)</f>
        <v/>
      </c>
      <c r="C128" s="50"/>
      <c r="D128" s="27"/>
      <c r="E128" s="27"/>
      <c r="F128" s="27"/>
      <c r="G128" s="27"/>
      <c r="H128" s="27"/>
      <c r="I128" s="27"/>
      <c r="J128" s="27"/>
      <c r="K128" s="50"/>
      <c r="L128" s="27"/>
      <c r="M128" s="28"/>
      <c r="N128" s="28"/>
      <c r="O128" s="28"/>
      <c r="P128" s="26" t="str">
        <f aca="false">IF($C128="","",IF(OR($L128="Closed",$L128="Cancelled"),0,MAX(0,$M128-$O128)))</f>
        <v/>
      </c>
      <c r="Q128" s="45" t="str">
        <f aca="true">IF(OR($C128="",$L128="Closed",$L128="Cancelled",$L128="Invoiced"),"",MAX(0,TODAY()-$C128))</f>
        <v/>
      </c>
      <c r="R128" s="50"/>
      <c r="S128" s="47" t="str">
        <f aca="true">IF($C128="","",IF(AND($O128&gt;0,$O128&gt;$M128),"Invoice over PO - check",IF(AND($J128="Pending approval",TODAY()-$C128&gt;AlertDays),"Approval waiting",IF(AND($R128&lt;&gt;"",$R128&lt;TODAY(),OR($L128="Open",$L128="Partially received")),"Delivery overdue",""))))</f>
        <v/>
      </c>
      <c r="T128" s="27"/>
      <c r="U128" s="50"/>
      <c r="V128" s="27"/>
      <c r="W128" s="27"/>
      <c r="X128" s="48" t="str">
        <f aca="false">IF(OR($U128="",$C128=""),"",$U128+IF($V128="",TermsDays,$V128))</f>
        <v/>
      </c>
      <c r="Y128" s="27"/>
      <c r="Z128" s="49" t="str">
        <f aca="false">IF($L128="Invoiced",COUNTIF($L$6:$L128,"Invoiced"),"")</f>
        <v/>
      </c>
    </row>
    <row r="129" customFormat="false" ht="15" hidden="false" customHeight="false" outlineLevel="0" collapsed="false">
      <c r="A129" s="45" t="str">
        <f aca="false">IF($C129="","",POStart+COUNTA($C$6:$C129)-1)</f>
        <v/>
      </c>
      <c r="B129" s="45" t="str">
        <f aca="false">IF($A129="","",POPrefix&amp;$A129)</f>
        <v/>
      </c>
      <c r="C129" s="50"/>
      <c r="D129" s="27"/>
      <c r="E129" s="27"/>
      <c r="F129" s="27"/>
      <c r="G129" s="27"/>
      <c r="H129" s="27"/>
      <c r="I129" s="27"/>
      <c r="J129" s="27"/>
      <c r="K129" s="50"/>
      <c r="L129" s="27"/>
      <c r="M129" s="28"/>
      <c r="N129" s="28"/>
      <c r="O129" s="28"/>
      <c r="P129" s="26" t="str">
        <f aca="false">IF($C129="","",IF(OR($L129="Closed",$L129="Cancelled"),0,MAX(0,$M129-$O129)))</f>
        <v/>
      </c>
      <c r="Q129" s="45" t="str">
        <f aca="true">IF(OR($C129="",$L129="Closed",$L129="Cancelled",$L129="Invoiced"),"",MAX(0,TODAY()-$C129))</f>
        <v/>
      </c>
      <c r="R129" s="50"/>
      <c r="S129" s="47" t="str">
        <f aca="true">IF($C129="","",IF(AND($O129&gt;0,$O129&gt;$M129),"Invoice over PO - check",IF(AND($J129="Pending approval",TODAY()-$C129&gt;AlertDays),"Approval waiting",IF(AND($R129&lt;&gt;"",$R129&lt;TODAY(),OR($L129="Open",$L129="Partially received")),"Delivery overdue",""))))</f>
        <v/>
      </c>
      <c r="T129" s="27"/>
      <c r="U129" s="50"/>
      <c r="V129" s="27"/>
      <c r="W129" s="27"/>
      <c r="X129" s="48" t="str">
        <f aca="false">IF(OR($U129="",$C129=""),"",$U129+IF($V129="",TermsDays,$V129))</f>
        <v/>
      </c>
      <c r="Y129" s="27"/>
      <c r="Z129" s="49" t="str">
        <f aca="false">IF($L129="Invoiced",COUNTIF($L$6:$L129,"Invoiced"),"")</f>
        <v/>
      </c>
    </row>
    <row r="130" customFormat="false" ht="15" hidden="false" customHeight="false" outlineLevel="0" collapsed="false">
      <c r="A130" s="45" t="str">
        <f aca="false">IF($C130="","",POStart+COUNTA($C$6:$C130)-1)</f>
        <v/>
      </c>
      <c r="B130" s="45" t="str">
        <f aca="false">IF($A130="","",POPrefix&amp;$A130)</f>
        <v/>
      </c>
      <c r="C130" s="50"/>
      <c r="D130" s="27"/>
      <c r="E130" s="27"/>
      <c r="F130" s="27"/>
      <c r="G130" s="27"/>
      <c r="H130" s="27"/>
      <c r="I130" s="27"/>
      <c r="J130" s="27"/>
      <c r="K130" s="50"/>
      <c r="L130" s="27"/>
      <c r="M130" s="28"/>
      <c r="N130" s="28"/>
      <c r="O130" s="28"/>
      <c r="P130" s="26" t="str">
        <f aca="false">IF($C130="","",IF(OR($L130="Closed",$L130="Cancelled"),0,MAX(0,$M130-$O130)))</f>
        <v/>
      </c>
      <c r="Q130" s="45" t="str">
        <f aca="true">IF(OR($C130="",$L130="Closed",$L130="Cancelled",$L130="Invoiced"),"",MAX(0,TODAY()-$C130))</f>
        <v/>
      </c>
      <c r="R130" s="50"/>
      <c r="S130" s="47" t="str">
        <f aca="true">IF($C130="","",IF(AND($O130&gt;0,$O130&gt;$M130),"Invoice over PO - check",IF(AND($J130="Pending approval",TODAY()-$C130&gt;AlertDays),"Approval waiting",IF(AND($R130&lt;&gt;"",$R130&lt;TODAY(),OR($L130="Open",$L130="Partially received")),"Delivery overdue",""))))</f>
        <v/>
      </c>
      <c r="T130" s="27"/>
      <c r="U130" s="50"/>
      <c r="V130" s="27"/>
      <c r="W130" s="27"/>
      <c r="X130" s="48" t="str">
        <f aca="false">IF(OR($U130="",$C130=""),"",$U130+IF($V130="",TermsDays,$V130))</f>
        <v/>
      </c>
      <c r="Y130" s="27"/>
      <c r="Z130" s="49" t="str">
        <f aca="false">IF($L130="Invoiced",COUNTIF($L$6:$L130,"Invoiced"),"")</f>
        <v/>
      </c>
    </row>
    <row r="131" customFormat="false" ht="15" hidden="false" customHeight="false" outlineLevel="0" collapsed="false">
      <c r="A131" s="45" t="str">
        <f aca="false">IF($C131="","",POStart+COUNTA($C$6:$C131)-1)</f>
        <v/>
      </c>
      <c r="B131" s="45" t="str">
        <f aca="false">IF($A131="","",POPrefix&amp;$A131)</f>
        <v/>
      </c>
      <c r="C131" s="50"/>
      <c r="D131" s="27"/>
      <c r="E131" s="27"/>
      <c r="F131" s="27"/>
      <c r="G131" s="27"/>
      <c r="H131" s="27"/>
      <c r="I131" s="27"/>
      <c r="J131" s="27"/>
      <c r="K131" s="50"/>
      <c r="L131" s="27"/>
      <c r="M131" s="28"/>
      <c r="N131" s="28"/>
      <c r="O131" s="28"/>
      <c r="P131" s="26" t="str">
        <f aca="false">IF($C131="","",IF(OR($L131="Closed",$L131="Cancelled"),0,MAX(0,$M131-$O131)))</f>
        <v/>
      </c>
      <c r="Q131" s="45" t="str">
        <f aca="true">IF(OR($C131="",$L131="Closed",$L131="Cancelled",$L131="Invoiced"),"",MAX(0,TODAY()-$C131))</f>
        <v/>
      </c>
      <c r="R131" s="50"/>
      <c r="S131" s="47" t="str">
        <f aca="true">IF($C131="","",IF(AND($O131&gt;0,$O131&gt;$M131),"Invoice over PO - check",IF(AND($J131="Pending approval",TODAY()-$C131&gt;AlertDays),"Approval waiting",IF(AND($R131&lt;&gt;"",$R131&lt;TODAY(),OR($L131="Open",$L131="Partially received")),"Delivery overdue",""))))</f>
        <v/>
      </c>
      <c r="T131" s="27"/>
      <c r="U131" s="50"/>
      <c r="V131" s="27"/>
      <c r="W131" s="27"/>
      <c r="X131" s="48" t="str">
        <f aca="false">IF(OR($U131="",$C131=""),"",$U131+IF($V131="",TermsDays,$V131))</f>
        <v/>
      </c>
      <c r="Y131" s="27"/>
      <c r="Z131" s="49" t="str">
        <f aca="false">IF($L131="Invoiced",COUNTIF($L$6:$L131,"Invoiced"),"")</f>
        <v/>
      </c>
    </row>
    <row r="132" customFormat="false" ht="15" hidden="false" customHeight="false" outlineLevel="0" collapsed="false">
      <c r="A132" s="45" t="str">
        <f aca="false">IF($C132="","",POStart+COUNTA($C$6:$C132)-1)</f>
        <v/>
      </c>
      <c r="B132" s="45" t="str">
        <f aca="false">IF($A132="","",POPrefix&amp;$A132)</f>
        <v/>
      </c>
      <c r="C132" s="50"/>
      <c r="D132" s="27"/>
      <c r="E132" s="27"/>
      <c r="F132" s="27"/>
      <c r="G132" s="27"/>
      <c r="H132" s="27"/>
      <c r="I132" s="27"/>
      <c r="J132" s="27"/>
      <c r="K132" s="50"/>
      <c r="L132" s="27"/>
      <c r="M132" s="28"/>
      <c r="N132" s="28"/>
      <c r="O132" s="28"/>
      <c r="P132" s="26" t="str">
        <f aca="false">IF($C132="","",IF(OR($L132="Closed",$L132="Cancelled"),0,MAX(0,$M132-$O132)))</f>
        <v/>
      </c>
      <c r="Q132" s="45" t="str">
        <f aca="true">IF(OR($C132="",$L132="Closed",$L132="Cancelled",$L132="Invoiced"),"",MAX(0,TODAY()-$C132))</f>
        <v/>
      </c>
      <c r="R132" s="50"/>
      <c r="S132" s="47" t="str">
        <f aca="true">IF($C132="","",IF(AND($O132&gt;0,$O132&gt;$M132),"Invoice over PO - check",IF(AND($J132="Pending approval",TODAY()-$C132&gt;AlertDays),"Approval waiting",IF(AND($R132&lt;&gt;"",$R132&lt;TODAY(),OR($L132="Open",$L132="Partially received")),"Delivery overdue",""))))</f>
        <v/>
      </c>
      <c r="T132" s="27"/>
      <c r="U132" s="50"/>
      <c r="V132" s="27"/>
      <c r="W132" s="27"/>
      <c r="X132" s="48" t="str">
        <f aca="false">IF(OR($U132="",$C132=""),"",$U132+IF($V132="",TermsDays,$V132))</f>
        <v/>
      </c>
      <c r="Y132" s="27"/>
      <c r="Z132" s="49" t="str">
        <f aca="false">IF($L132="Invoiced",COUNTIF($L$6:$L132,"Invoiced"),"")</f>
        <v/>
      </c>
    </row>
    <row r="133" customFormat="false" ht="15" hidden="false" customHeight="false" outlineLevel="0" collapsed="false">
      <c r="A133" s="45" t="str">
        <f aca="false">IF($C133="","",POStart+COUNTA($C$6:$C133)-1)</f>
        <v/>
      </c>
      <c r="B133" s="45" t="str">
        <f aca="false">IF($A133="","",POPrefix&amp;$A133)</f>
        <v/>
      </c>
      <c r="C133" s="50"/>
      <c r="D133" s="27"/>
      <c r="E133" s="27"/>
      <c r="F133" s="27"/>
      <c r="G133" s="27"/>
      <c r="H133" s="27"/>
      <c r="I133" s="27"/>
      <c r="J133" s="27"/>
      <c r="K133" s="50"/>
      <c r="L133" s="27"/>
      <c r="M133" s="28"/>
      <c r="N133" s="28"/>
      <c r="O133" s="28"/>
      <c r="P133" s="26" t="str">
        <f aca="false">IF($C133="","",IF(OR($L133="Closed",$L133="Cancelled"),0,MAX(0,$M133-$O133)))</f>
        <v/>
      </c>
      <c r="Q133" s="45" t="str">
        <f aca="true">IF(OR($C133="",$L133="Closed",$L133="Cancelled",$L133="Invoiced"),"",MAX(0,TODAY()-$C133))</f>
        <v/>
      </c>
      <c r="R133" s="50"/>
      <c r="S133" s="47" t="str">
        <f aca="true">IF($C133="","",IF(AND($O133&gt;0,$O133&gt;$M133),"Invoice over PO - check",IF(AND($J133="Pending approval",TODAY()-$C133&gt;AlertDays),"Approval waiting",IF(AND($R133&lt;&gt;"",$R133&lt;TODAY(),OR($L133="Open",$L133="Partially received")),"Delivery overdue",""))))</f>
        <v/>
      </c>
      <c r="T133" s="27"/>
      <c r="U133" s="50"/>
      <c r="V133" s="27"/>
      <c r="W133" s="27"/>
      <c r="X133" s="48" t="str">
        <f aca="false">IF(OR($U133="",$C133=""),"",$U133+IF($V133="",TermsDays,$V133))</f>
        <v/>
      </c>
      <c r="Y133" s="27"/>
      <c r="Z133" s="49" t="str">
        <f aca="false">IF($L133="Invoiced",COUNTIF($L$6:$L133,"Invoiced"),"")</f>
        <v/>
      </c>
    </row>
    <row r="134" customFormat="false" ht="15" hidden="false" customHeight="false" outlineLevel="0" collapsed="false">
      <c r="A134" s="45" t="str">
        <f aca="false">IF($C134="","",POStart+COUNTA($C$6:$C134)-1)</f>
        <v/>
      </c>
      <c r="B134" s="45" t="str">
        <f aca="false">IF($A134="","",POPrefix&amp;$A134)</f>
        <v/>
      </c>
      <c r="C134" s="50"/>
      <c r="D134" s="27"/>
      <c r="E134" s="27"/>
      <c r="F134" s="27"/>
      <c r="G134" s="27"/>
      <c r="H134" s="27"/>
      <c r="I134" s="27"/>
      <c r="J134" s="27"/>
      <c r="K134" s="50"/>
      <c r="L134" s="27"/>
      <c r="M134" s="28"/>
      <c r="N134" s="28"/>
      <c r="O134" s="28"/>
      <c r="P134" s="26" t="str">
        <f aca="false">IF($C134="","",IF(OR($L134="Closed",$L134="Cancelled"),0,MAX(0,$M134-$O134)))</f>
        <v/>
      </c>
      <c r="Q134" s="45" t="str">
        <f aca="true">IF(OR($C134="",$L134="Closed",$L134="Cancelled",$L134="Invoiced"),"",MAX(0,TODAY()-$C134))</f>
        <v/>
      </c>
      <c r="R134" s="50"/>
      <c r="S134" s="47" t="str">
        <f aca="true">IF($C134="","",IF(AND($O134&gt;0,$O134&gt;$M134),"Invoice over PO - check",IF(AND($J134="Pending approval",TODAY()-$C134&gt;AlertDays),"Approval waiting",IF(AND($R134&lt;&gt;"",$R134&lt;TODAY(),OR($L134="Open",$L134="Partially received")),"Delivery overdue",""))))</f>
        <v/>
      </c>
      <c r="T134" s="27"/>
      <c r="U134" s="50"/>
      <c r="V134" s="27"/>
      <c r="W134" s="27"/>
      <c r="X134" s="48" t="str">
        <f aca="false">IF(OR($U134="",$C134=""),"",$U134+IF($V134="",TermsDays,$V134))</f>
        <v/>
      </c>
      <c r="Y134" s="27"/>
      <c r="Z134" s="49" t="str">
        <f aca="false">IF($L134="Invoiced",COUNTIF($L$6:$L134,"Invoiced"),"")</f>
        <v/>
      </c>
    </row>
    <row r="135" customFormat="false" ht="15" hidden="false" customHeight="false" outlineLevel="0" collapsed="false">
      <c r="A135" s="45" t="str">
        <f aca="false">IF($C135="","",POStart+COUNTA($C$6:$C135)-1)</f>
        <v/>
      </c>
      <c r="B135" s="45" t="str">
        <f aca="false">IF($A135="","",POPrefix&amp;$A135)</f>
        <v/>
      </c>
      <c r="C135" s="50"/>
      <c r="D135" s="27"/>
      <c r="E135" s="27"/>
      <c r="F135" s="27"/>
      <c r="G135" s="27"/>
      <c r="H135" s="27"/>
      <c r="I135" s="27"/>
      <c r="J135" s="27"/>
      <c r="K135" s="50"/>
      <c r="L135" s="27"/>
      <c r="M135" s="28"/>
      <c r="N135" s="28"/>
      <c r="O135" s="28"/>
      <c r="P135" s="26" t="str">
        <f aca="false">IF($C135="","",IF(OR($L135="Closed",$L135="Cancelled"),0,MAX(0,$M135-$O135)))</f>
        <v/>
      </c>
      <c r="Q135" s="45" t="str">
        <f aca="true">IF(OR($C135="",$L135="Closed",$L135="Cancelled",$L135="Invoiced"),"",MAX(0,TODAY()-$C135))</f>
        <v/>
      </c>
      <c r="R135" s="50"/>
      <c r="S135" s="47" t="str">
        <f aca="true">IF($C135="","",IF(AND($O135&gt;0,$O135&gt;$M135),"Invoice over PO - check",IF(AND($J135="Pending approval",TODAY()-$C135&gt;AlertDays),"Approval waiting",IF(AND($R135&lt;&gt;"",$R135&lt;TODAY(),OR($L135="Open",$L135="Partially received")),"Delivery overdue",""))))</f>
        <v/>
      </c>
      <c r="T135" s="27"/>
      <c r="U135" s="50"/>
      <c r="V135" s="27"/>
      <c r="W135" s="27"/>
      <c r="X135" s="48" t="str">
        <f aca="false">IF(OR($U135="",$C135=""),"",$U135+IF($V135="",TermsDays,$V135))</f>
        <v/>
      </c>
      <c r="Y135" s="27"/>
      <c r="Z135" s="49" t="str">
        <f aca="false">IF($L135="Invoiced",COUNTIF($L$6:$L135,"Invoiced"),"")</f>
        <v/>
      </c>
    </row>
    <row r="136" customFormat="false" ht="15" hidden="false" customHeight="false" outlineLevel="0" collapsed="false">
      <c r="A136" s="45" t="str">
        <f aca="false">IF($C136="","",POStart+COUNTA($C$6:$C136)-1)</f>
        <v/>
      </c>
      <c r="B136" s="45" t="str">
        <f aca="false">IF($A136="","",POPrefix&amp;$A136)</f>
        <v/>
      </c>
      <c r="C136" s="50"/>
      <c r="D136" s="27"/>
      <c r="E136" s="27"/>
      <c r="F136" s="27"/>
      <c r="G136" s="27"/>
      <c r="H136" s="27"/>
      <c r="I136" s="27"/>
      <c r="J136" s="27"/>
      <c r="K136" s="50"/>
      <c r="L136" s="27"/>
      <c r="M136" s="28"/>
      <c r="N136" s="28"/>
      <c r="O136" s="28"/>
      <c r="P136" s="26" t="str">
        <f aca="false">IF($C136="","",IF(OR($L136="Closed",$L136="Cancelled"),0,MAX(0,$M136-$O136)))</f>
        <v/>
      </c>
      <c r="Q136" s="45" t="str">
        <f aca="true">IF(OR($C136="",$L136="Closed",$L136="Cancelled",$L136="Invoiced"),"",MAX(0,TODAY()-$C136))</f>
        <v/>
      </c>
      <c r="R136" s="50"/>
      <c r="S136" s="47" t="str">
        <f aca="true">IF($C136="","",IF(AND($O136&gt;0,$O136&gt;$M136),"Invoice over PO - check",IF(AND($J136="Pending approval",TODAY()-$C136&gt;AlertDays),"Approval waiting",IF(AND($R136&lt;&gt;"",$R136&lt;TODAY(),OR($L136="Open",$L136="Partially received")),"Delivery overdue",""))))</f>
        <v/>
      </c>
      <c r="T136" s="27"/>
      <c r="U136" s="50"/>
      <c r="V136" s="27"/>
      <c r="W136" s="27"/>
      <c r="X136" s="48" t="str">
        <f aca="false">IF(OR($U136="",$C136=""),"",$U136+IF($V136="",TermsDays,$V136))</f>
        <v/>
      </c>
      <c r="Y136" s="27"/>
      <c r="Z136" s="49" t="str">
        <f aca="false">IF($L136="Invoiced",COUNTIF($L$6:$L136,"Invoiced"),"")</f>
        <v/>
      </c>
    </row>
    <row r="137" customFormat="false" ht="15" hidden="false" customHeight="false" outlineLevel="0" collapsed="false">
      <c r="A137" s="45" t="str">
        <f aca="false">IF($C137="","",POStart+COUNTA($C$6:$C137)-1)</f>
        <v/>
      </c>
      <c r="B137" s="45" t="str">
        <f aca="false">IF($A137="","",POPrefix&amp;$A137)</f>
        <v/>
      </c>
      <c r="C137" s="50"/>
      <c r="D137" s="27"/>
      <c r="E137" s="27"/>
      <c r="F137" s="27"/>
      <c r="G137" s="27"/>
      <c r="H137" s="27"/>
      <c r="I137" s="27"/>
      <c r="J137" s="27"/>
      <c r="K137" s="50"/>
      <c r="L137" s="27"/>
      <c r="M137" s="28"/>
      <c r="N137" s="28"/>
      <c r="O137" s="28"/>
      <c r="P137" s="26" t="str">
        <f aca="false">IF($C137="","",IF(OR($L137="Closed",$L137="Cancelled"),0,MAX(0,$M137-$O137)))</f>
        <v/>
      </c>
      <c r="Q137" s="45" t="str">
        <f aca="true">IF(OR($C137="",$L137="Closed",$L137="Cancelled",$L137="Invoiced"),"",MAX(0,TODAY()-$C137))</f>
        <v/>
      </c>
      <c r="R137" s="50"/>
      <c r="S137" s="47" t="str">
        <f aca="true">IF($C137="","",IF(AND($O137&gt;0,$O137&gt;$M137),"Invoice over PO - check",IF(AND($J137="Pending approval",TODAY()-$C137&gt;AlertDays),"Approval waiting",IF(AND($R137&lt;&gt;"",$R137&lt;TODAY(),OR($L137="Open",$L137="Partially received")),"Delivery overdue",""))))</f>
        <v/>
      </c>
      <c r="T137" s="27"/>
      <c r="U137" s="50"/>
      <c r="V137" s="27"/>
      <c r="W137" s="27"/>
      <c r="X137" s="48" t="str">
        <f aca="false">IF(OR($U137="",$C137=""),"",$U137+IF($V137="",TermsDays,$V137))</f>
        <v/>
      </c>
      <c r="Y137" s="27"/>
      <c r="Z137" s="49" t="str">
        <f aca="false">IF($L137="Invoiced",COUNTIF($L$6:$L137,"Invoiced"),"")</f>
        <v/>
      </c>
    </row>
    <row r="138" customFormat="false" ht="15" hidden="false" customHeight="false" outlineLevel="0" collapsed="false">
      <c r="A138" s="45" t="str">
        <f aca="false">IF($C138="","",POStart+COUNTA($C$6:$C138)-1)</f>
        <v/>
      </c>
      <c r="B138" s="45" t="str">
        <f aca="false">IF($A138="","",POPrefix&amp;$A138)</f>
        <v/>
      </c>
      <c r="C138" s="50"/>
      <c r="D138" s="27"/>
      <c r="E138" s="27"/>
      <c r="F138" s="27"/>
      <c r="G138" s="27"/>
      <c r="H138" s="27"/>
      <c r="I138" s="27"/>
      <c r="J138" s="27"/>
      <c r="K138" s="50"/>
      <c r="L138" s="27"/>
      <c r="M138" s="28"/>
      <c r="N138" s="28"/>
      <c r="O138" s="28"/>
      <c r="P138" s="26" t="str">
        <f aca="false">IF($C138="","",IF(OR($L138="Closed",$L138="Cancelled"),0,MAX(0,$M138-$O138)))</f>
        <v/>
      </c>
      <c r="Q138" s="45" t="str">
        <f aca="true">IF(OR($C138="",$L138="Closed",$L138="Cancelled",$L138="Invoiced"),"",MAX(0,TODAY()-$C138))</f>
        <v/>
      </c>
      <c r="R138" s="50"/>
      <c r="S138" s="47" t="str">
        <f aca="true">IF($C138="","",IF(AND($O138&gt;0,$O138&gt;$M138),"Invoice over PO - check",IF(AND($J138="Pending approval",TODAY()-$C138&gt;AlertDays),"Approval waiting",IF(AND($R138&lt;&gt;"",$R138&lt;TODAY(),OR($L138="Open",$L138="Partially received")),"Delivery overdue",""))))</f>
        <v/>
      </c>
      <c r="T138" s="27"/>
      <c r="U138" s="50"/>
      <c r="V138" s="27"/>
      <c r="W138" s="27"/>
      <c r="X138" s="48" t="str">
        <f aca="false">IF(OR($U138="",$C138=""),"",$U138+IF($V138="",TermsDays,$V138))</f>
        <v/>
      </c>
      <c r="Y138" s="27"/>
      <c r="Z138" s="49" t="str">
        <f aca="false">IF($L138="Invoiced",COUNTIF($L$6:$L138,"Invoiced"),"")</f>
        <v/>
      </c>
    </row>
    <row r="139" customFormat="false" ht="15" hidden="false" customHeight="false" outlineLevel="0" collapsed="false">
      <c r="A139" s="45" t="str">
        <f aca="false">IF($C139="","",POStart+COUNTA($C$6:$C139)-1)</f>
        <v/>
      </c>
      <c r="B139" s="45" t="str">
        <f aca="false">IF($A139="","",POPrefix&amp;$A139)</f>
        <v/>
      </c>
      <c r="C139" s="50"/>
      <c r="D139" s="27"/>
      <c r="E139" s="27"/>
      <c r="F139" s="27"/>
      <c r="G139" s="27"/>
      <c r="H139" s="27"/>
      <c r="I139" s="27"/>
      <c r="J139" s="27"/>
      <c r="K139" s="50"/>
      <c r="L139" s="27"/>
      <c r="M139" s="28"/>
      <c r="N139" s="28"/>
      <c r="O139" s="28"/>
      <c r="P139" s="26" t="str">
        <f aca="false">IF($C139="","",IF(OR($L139="Closed",$L139="Cancelled"),0,MAX(0,$M139-$O139)))</f>
        <v/>
      </c>
      <c r="Q139" s="45" t="str">
        <f aca="true">IF(OR($C139="",$L139="Closed",$L139="Cancelled",$L139="Invoiced"),"",MAX(0,TODAY()-$C139))</f>
        <v/>
      </c>
      <c r="R139" s="50"/>
      <c r="S139" s="47" t="str">
        <f aca="true">IF($C139="","",IF(AND($O139&gt;0,$O139&gt;$M139),"Invoice over PO - check",IF(AND($J139="Pending approval",TODAY()-$C139&gt;AlertDays),"Approval waiting",IF(AND($R139&lt;&gt;"",$R139&lt;TODAY(),OR($L139="Open",$L139="Partially received")),"Delivery overdue",""))))</f>
        <v/>
      </c>
      <c r="T139" s="27"/>
      <c r="U139" s="50"/>
      <c r="V139" s="27"/>
      <c r="W139" s="27"/>
      <c r="X139" s="48" t="str">
        <f aca="false">IF(OR($U139="",$C139=""),"",$U139+IF($V139="",TermsDays,$V139))</f>
        <v/>
      </c>
      <c r="Y139" s="27"/>
      <c r="Z139" s="49" t="str">
        <f aca="false">IF($L139="Invoiced",COUNTIF($L$6:$L139,"Invoiced"),"")</f>
        <v/>
      </c>
    </row>
    <row r="140" customFormat="false" ht="15" hidden="false" customHeight="false" outlineLevel="0" collapsed="false">
      <c r="A140" s="45" t="str">
        <f aca="false">IF($C140="","",POStart+COUNTA($C$6:$C140)-1)</f>
        <v/>
      </c>
      <c r="B140" s="45" t="str">
        <f aca="false">IF($A140="","",POPrefix&amp;$A140)</f>
        <v/>
      </c>
      <c r="C140" s="50"/>
      <c r="D140" s="27"/>
      <c r="E140" s="27"/>
      <c r="F140" s="27"/>
      <c r="G140" s="27"/>
      <c r="H140" s="27"/>
      <c r="I140" s="27"/>
      <c r="J140" s="27"/>
      <c r="K140" s="50"/>
      <c r="L140" s="27"/>
      <c r="M140" s="28"/>
      <c r="N140" s="28"/>
      <c r="O140" s="28"/>
      <c r="P140" s="26" t="str">
        <f aca="false">IF($C140="","",IF(OR($L140="Closed",$L140="Cancelled"),0,MAX(0,$M140-$O140)))</f>
        <v/>
      </c>
      <c r="Q140" s="45" t="str">
        <f aca="true">IF(OR($C140="",$L140="Closed",$L140="Cancelled",$L140="Invoiced"),"",MAX(0,TODAY()-$C140))</f>
        <v/>
      </c>
      <c r="R140" s="50"/>
      <c r="S140" s="47" t="str">
        <f aca="true">IF($C140="","",IF(AND($O140&gt;0,$O140&gt;$M140),"Invoice over PO - check",IF(AND($J140="Pending approval",TODAY()-$C140&gt;AlertDays),"Approval waiting",IF(AND($R140&lt;&gt;"",$R140&lt;TODAY(),OR($L140="Open",$L140="Partially received")),"Delivery overdue",""))))</f>
        <v/>
      </c>
      <c r="T140" s="27"/>
      <c r="U140" s="50"/>
      <c r="V140" s="27"/>
      <c r="W140" s="27"/>
      <c r="X140" s="48" t="str">
        <f aca="false">IF(OR($U140="",$C140=""),"",$U140+IF($V140="",TermsDays,$V140))</f>
        <v/>
      </c>
      <c r="Y140" s="27"/>
      <c r="Z140" s="49" t="str">
        <f aca="false">IF($L140="Invoiced",COUNTIF($L$6:$L140,"Invoiced"),"")</f>
        <v/>
      </c>
    </row>
    <row r="141" customFormat="false" ht="15" hidden="false" customHeight="false" outlineLevel="0" collapsed="false">
      <c r="A141" s="45" t="str">
        <f aca="false">IF($C141="","",POStart+COUNTA($C$6:$C141)-1)</f>
        <v/>
      </c>
      <c r="B141" s="45" t="str">
        <f aca="false">IF($A141="","",POPrefix&amp;$A141)</f>
        <v/>
      </c>
      <c r="C141" s="50"/>
      <c r="D141" s="27"/>
      <c r="E141" s="27"/>
      <c r="F141" s="27"/>
      <c r="G141" s="27"/>
      <c r="H141" s="27"/>
      <c r="I141" s="27"/>
      <c r="J141" s="27"/>
      <c r="K141" s="50"/>
      <c r="L141" s="27"/>
      <c r="M141" s="28"/>
      <c r="N141" s="28"/>
      <c r="O141" s="28"/>
      <c r="P141" s="26" t="str">
        <f aca="false">IF($C141="","",IF(OR($L141="Closed",$L141="Cancelled"),0,MAX(0,$M141-$O141)))</f>
        <v/>
      </c>
      <c r="Q141" s="45" t="str">
        <f aca="true">IF(OR($C141="",$L141="Closed",$L141="Cancelled",$L141="Invoiced"),"",MAX(0,TODAY()-$C141))</f>
        <v/>
      </c>
      <c r="R141" s="50"/>
      <c r="S141" s="47" t="str">
        <f aca="true">IF($C141="","",IF(AND($O141&gt;0,$O141&gt;$M141),"Invoice over PO - check",IF(AND($J141="Pending approval",TODAY()-$C141&gt;AlertDays),"Approval waiting",IF(AND($R141&lt;&gt;"",$R141&lt;TODAY(),OR($L141="Open",$L141="Partially received")),"Delivery overdue",""))))</f>
        <v/>
      </c>
      <c r="T141" s="27"/>
      <c r="U141" s="50"/>
      <c r="V141" s="27"/>
      <c r="W141" s="27"/>
      <c r="X141" s="48" t="str">
        <f aca="false">IF(OR($U141="",$C141=""),"",$U141+IF($V141="",TermsDays,$V141))</f>
        <v/>
      </c>
      <c r="Y141" s="27"/>
      <c r="Z141" s="49" t="str">
        <f aca="false">IF($L141="Invoiced",COUNTIF($L$6:$L141,"Invoiced"),"")</f>
        <v/>
      </c>
    </row>
    <row r="142" customFormat="false" ht="15" hidden="false" customHeight="false" outlineLevel="0" collapsed="false">
      <c r="A142" s="45" t="str">
        <f aca="false">IF($C142="","",POStart+COUNTA($C$6:$C142)-1)</f>
        <v/>
      </c>
      <c r="B142" s="45" t="str">
        <f aca="false">IF($A142="","",POPrefix&amp;$A142)</f>
        <v/>
      </c>
      <c r="C142" s="50"/>
      <c r="D142" s="27"/>
      <c r="E142" s="27"/>
      <c r="F142" s="27"/>
      <c r="G142" s="27"/>
      <c r="H142" s="27"/>
      <c r="I142" s="27"/>
      <c r="J142" s="27"/>
      <c r="K142" s="50"/>
      <c r="L142" s="27"/>
      <c r="M142" s="28"/>
      <c r="N142" s="28"/>
      <c r="O142" s="28"/>
      <c r="P142" s="26" t="str">
        <f aca="false">IF($C142="","",IF(OR($L142="Closed",$L142="Cancelled"),0,MAX(0,$M142-$O142)))</f>
        <v/>
      </c>
      <c r="Q142" s="45" t="str">
        <f aca="true">IF(OR($C142="",$L142="Closed",$L142="Cancelled",$L142="Invoiced"),"",MAX(0,TODAY()-$C142))</f>
        <v/>
      </c>
      <c r="R142" s="50"/>
      <c r="S142" s="47" t="str">
        <f aca="true">IF($C142="","",IF(AND($O142&gt;0,$O142&gt;$M142),"Invoice over PO - check",IF(AND($J142="Pending approval",TODAY()-$C142&gt;AlertDays),"Approval waiting",IF(AND($R142&lt;&gt;"",$R142&lt;TODAY(),OR($L142="Open",$L142="Partially received")),"Delivery overdue",""))))</f>
        <v/>
      </c>
      <c r="T142" s="27"/>
      <c r="U142" s="50"/>
      <c r="V142" s="27"/>
      <c r="W142" s="27"/>
      <c r="X142" s="48" t="str">
        <f aca="false">IF(OR($U142="",$C142=""),"",$U142+IF($V142="",TermsDays,$V142))</f>
        <v/>
      </c>
      <c r="Y142" s="27"/>
      <c r="Z142" s="49" t="str">
        <f aca="false">IF($L142="Invoiced",COUNTIF($L$6:$L142,"Invoiced"),"")</f>
        <v/>
      </c>
    </row>
    <row r="143" customFormat="false" ht="15" hidden="false" customHeight="false" outlineLevel="0" collapsed="false">
      <c r="A143" s="45" t="str">
        <f aca="false">IF($C143="","",POStart+COUNTA($C$6:$C143)-1)</f>
        <v/>
      </c>
      <c r="B143" s="45" t="str">
        <f aca="false">IF($A143="","",POPrefix&amp;$A143)</f>
        <v/>
      </c>
      <c r="C143" s="50"/>
      <c r="D143" s="27"/>
      <c r="E143" s="27"/>
      <c r="F143" s="27"/>
      <c r="G143" s="27"/>
      <c r="H143" s="27"/>
      <c r="I143" s="27"/>
      <c r="J143" s="27"/>
      <c r="K143" s="50"/>
      <c r="L143" s="27"/>
      <c r="M143" s="28"/>
      <c r="N143" s="28"/>
      <c r="O143" s="28"/>
      <c r="P143" s="26" t="str">
        <f aca="false">IF($C143="","",IF(OR($L143="Closed",$L143="Cancelled"),0,MAX(0,$M143-$O143)))</f>
        <v/>
      </c>
      <c r="Q143" s="45" t="str">
        <f aca="true">IF(OR($C143="",$L143="Closed",$L143="Cancelled",$L143="Invoiced"),"",MAX(0,TODAY()-$C143))</f>
        <v/>
      </c>
      <c r="R143" s="50"/>
      <c r="S143" s="47" t="str">
        <f aca="true">IF($C143="","",IF(AND($O143&gt;0,$O143&gt;$M143),"Invoice over PO - check",IF(AND($J143="Pending approval",TODAY()-$C143&gt;AlertDays),"Approval waiting",IF(AND($R143&lt;&gt;"",$R143&lt;TODAY(),OR($L143="Open",$L143="Partially received")),"Delivery overdue",""))))</f>
        <v/>
      </c>
      <c r="T143" s="27"/>
      <c r="U143" s="50"/>
      <c r="V143" s="27"/>
      <c r="W143" s="27"/>
      <c r="X143" s="48" t="str">
        <f aca="false">IF(OR($U143="",$C143=""),"",$U143+IF($V143="",TermsDays,$V143))</f>
        <v/>
      </c>
      <c r="Y143" s="27"/>
      <c r="Z143" s="49" t="str">
        <f aca="false">IF($L143="Invoiced",COUNTIF($L$6:$L143,"Invoiced"),"")</f>
        <v/>
      </c>
    </row>
    <row r="144" customFormat="false" ht="15" hidden="false" customHeight="false" outlineLevel="0" collapsed="false">
      <c r="A144" s="45" t="str">
        <f aca="false">IF($C144="","",POStart+COUNTA($C$6:$C144)-1)</f>
        <v/>
      </c>
      <c r="B144" s="45" t="str">
        <f aca="false">IF($A144="","",POPrefix&amp;$A144)</f>
        <v/>
      </c>
      <c r="C144" s="50"/>
      <c r="D144" s="27"/>
      <c r="E144" s="27"/>
      <c r="F144" s="27"/>
      <c r="G144" s="27"/>
      <c r="H144" s="27"/>
      <c r="I144" s="27"/>
      <c r="J144" s="27"/>
      <c r="K144" s="50"/>
      <c r="L144" s="27"/>
      <c r="M144" s="28"/>
      <c r="N144" s="28"/>
      <c r="O144" s="28"/>
      <c r="P144" s="26" t="str">
        <f aca="false">IF($C144="","",IF(OR($L144="Closed",$L144="Cancelled"),0,MAX(0,$M144-$O144)))</f>
        <v/>
      </c>
      <c r="Q144" s="45" t="str">
        <f aca="true">IF(OR($C144="",$L144="Closed",$L144="Cancelled",$L144="Invoiced"),"",MAX(0,TODAY()-$C144))</f>
        <v/>
      </c>
      <c r="R144" s="50"/>
      <c r="S144" s="47" t="str">
        <f aca="true">IF($C144="","",IF(AND($O144&gt;0,$O144&gt;$M144),"Invoice over PO - check",IF(AND($J144="Pending approval",TODAY()-$C144&gt;AlertDays),"Approval waiting",IF(AND($R144&lt;&gt;"",$R144&lt;TODAY(),OR($L144="Open",$L144="Partially received")),"Delivery overdue",""))))</f>
        <v/>
      </c>
      <c r="T144" s="27"/>
      <c r="U144" s="50"/>
      <c r="V144" s="27"/>
      <c r="W144" s="27"/>
      <c r="X144" s="48" t="str">
        <f aca="false">IF(OR($U144="",$C144=""),"",$U144+IF($V144="",TermsDays,$V144))</f>
        <v/>
      </c>
      <c r="Y144" s="27"/>
      <c r="Z144" s="49" t="str">
        <f aca="false">IF($L144="Invoiced",COUNTIF($L$6:$L144,"Invoiced"),"")</f>
        <v/>
      </c>
    </row>
    <row r="145" customFormat="false" ht="15" hidden="false" customHeight="false" outlineLevel="0" collapsed="false">
      <c r="A145" s="45" t="str">
        <f aca="false">IF($C145="","",POStart+COUNTA($C$6:$C145)-1)</f>
        <v/>
      </c>
      <c r="B145" s="45" t="str">
        <f aca="false">IF($A145="","",POPrefix&amp;$A145)</f>
        <v/>
      </c>
      <c r="C145" s="50"/>
      <c r="D145" s="27"/>
      <c r="E145" s="27"/>
      <c r="F145" s="27"/>
      <c r="G145" s="27"/>
      <c r="H145" s="27"/>
      <c r="I145" s="27"/>
      <c r="J145" s="27"/>
      <c r="K145" s="50"/>
      <c r="L145" s="27"/>
      <c r="M145" s="28"/>
      <c r="N145" s="28"/>
      <c r="O145" s="28"/>
      <c r="P145" s="26" t="str">
        <f aca="false">IF($C145="","",IF(OR($L145="Closed",$L145="Cancelled"),0,MAX(0,$M145-$O145)))</f>
        <v/>
      </c>
      <c r="Q145" s="45" t="str">
        <f aca="true">IF(OR($C145="",$L145="Closed",$L145="Cancelled",$L145="Invoiced"),"",MAX(0,TODAY()-$C145))</f>
        <v/>
      </c>
      <c r="R145" s="50"/>
      <c r="S145" s="47" t="str">
        <f aca="true">IF($C145="","",IF(AND($O145&gt;0,$O145&gt;$M145),"Invoice over PO - check",IF(AND($J145="Pending approval",TODAY()-$C145&gt;AlertDays),"Approval waiting",IF(AND($R145&lt;&gt;"",$R145&lt;TODAY(),OR($L145="Open",$L145="Partially received")),"Delivery overdue",""))))</f>
        <v/>
      </c>
      <c r="T145" s="27"/>
      <c r="U145" s="50"/>
      <c r="V145" s="27"/>
      <c r="W145" s="27"/>
      <c r="X145" s="48" t="str">
        <f aca="false">IF(OR($U145="",$C145=""),"",$U145+IF($V145="",TermsDays,$V145))</f>
        <v/>
      </c>
      <c r="Y145" s="27"/>
      <c r="Z145" s="49" t="str">
        <f aca="false">IF($L145="Invoiced",COUNTIF($L$6:$L145,"Invoiced"),"")</f>
        <v/>
      </c>
    </row>
    <row r="146" customFormat="false" ht="15" hidden="false" customHeight="false" outlineLevel="0" collapsed="false">
      <c r="A146" s="45" t="str">
        <f aca="false">IF($C146="","",POStart+COUNTA($C$6:$C146)-1)</f>
        <v/>
      </c>
      <c r="B146" s="45" t="str">
        <f aca="false">IF($A146="","",POPrefix&amp;$A146)</f>
        <v/>
      </c>
      <c r="C146" s="50"/>
      <c r="D146" s="27"/>
      <c r="E146" s="27"/>
      <c r="F146" s="27"/>
      <c r="G146" s="27"/>
      <c r="H146" s="27"/>
      <c r="I146" s="27"/>
      <c r="J146" s="27"/>
      <c r="K146" s="50"/>
      <c r="L146" s="27"/>
      <c r="M146" s="28"/>
      <c r="N146" s="28"/>
      <c r="O146" s="28"/>
      <c r="P146" s="26" t="str">
        <f aca="false">IF($C146="","",IF(OR($L146="Closed",$L146="Cancelled"),0,MAX(0,$M146-$O146)))</f>
        <v/>
      </c>
      <c r="Q146" s="45" t="str">
        <f aca="true">IF(OR($C146="",$L146="Closed",$L146="Cancelled",$L146="Invoiced"),"",MAX(0,TODAY()-$C146))</f>
        <v/>
      </c>
      <c r="R146" s="50"/>
      <c r="S146" s="47" t="str">
        <f aca="true">IF($C146="","",IF(AND($O146&gt;0,$O146&gt;$M146),"Invoice over PO - check",IF(AND($J146="Pending approval",TODAY()-$C146&gt;AlertDays),"Approval waiting",IF(AND($R146&lt;&gt;"",$R146&lt;TODAY(),OR($L146="Open",$L146="Partially received")),"Delivery overdue",""))))</f>
        <v/>
      </c>
      <c r="T146" s="27"/>
      <c r="U146" s="50"/>
      <c r="V146" s="27"/>
      <c r="W146" s="27"/>
      <c r="X146" s="48" t="str">
        <f aca="false">IF(OR($U146="",$C146=""),"",$U146+IF($V146="",TermsDays,$V146))</f>
        <v/>
      </c>
      <c r="Y146" s="27"/>
      <c r="Z146" s="49" t="str">
        <f aca="false">IF($L146="Invoiced",COUNTIF($L$6:$L146,"Invoiced"),"")</f>
        <v/>
      </c>
    </row>
    <row r="147" customFormat="false" ht="15" hidden="false" customHeight="false" outlineLevel="0" collapsed="false">
      <c r="A147" s="45" t="str">
        <f aca="false">IF($C147="","",POStart+COUNTA($C$6:$C147)-1)</f>
        <v/>
      </c>
      <c r="B147" s="45" t="str">
        <f aca="false">IF($A147="","",POPrefix&amp;$A147)</f>
        <v/>
      </c>
      <c r="C147" s="50"/>
      <c r="D147" s="27"/>
      <c r="E147" s="27"/>
      <c r="F147" s="27"/>
      <c r="G147" s="27"/>
      <c r="H147" s="27"/>
      <c r="I147" s="27"/>
      <c r="J147" s="27"/>
      <c r="K147" s="50"/>
      <c r="L147" s="27"/>
      <c r="M147" s="28"/>
      <c r="N147" s="28"/>
      <c r="O147" s="28"/>
      <c r="P147" s="26" t="str">
        <f aca="false">IF($C147="","",IF(OR($L147="Closed",$L147="Cancelled"),0,MAX(0,$M147-$O147)))</f>
        <v/>
      </c>
      <c r="Q147" s="45" t="str">
        <f aca="true">IF(OR($C147="",$L147="Closed",$L147="Cancelled",$L147="Invoiced"),"",MAX(0,TODAY()-$C147))</f>
        <v/>
      </c>
      <c r="R147" s="50"/>
      <c r="S147" s="47" t="str">
        <f aca="true">IF($C147="","",IF(AND($O147&gt;0,$O147&gt;$M147),"Invoice over PO - check",IF(AND($J147="Pending approval",TODAY()-$C147&gt;AlertDays),"Approval waiting",IF(AND($R147&lt;&gt;"",$R147&lt;TODAY(),OR($L147="Open",$L147="Partially received")),"Delivery overdue",""))))</f>
        <v/>
      </c>
      <c r="T147" s="27"/>
      <c r="U147" s="50"/>
      <c r="V147" s="27"/>
      <c r="W147" s="27"/>
      <c r="X147" s="48" t="str">
        <f aca="false">IF(OR($U147="",$C147=""),"",$U147+IF($V147="",TermsDays,$V147))</f>
        <v/>
      </c>
      <c r="Y147" s="27"/>
      <c r="Z147" s="49" t="str">
        <f aca="false">IF($L147="Invoiced",COUNTIF($L$6:$L147,"Invoiced"),"")</f>
        <v/>
      </c>
    </row>
    <row r="148" customFormat="false" ht="15" hidden="false" customHeight="false" outlineLevel="0" collapsed="false">
      <c r="A148" s="45" t="str">
        <f aca="false">IF($C148="","",POStart+COUNTA($C$6:$C148)-1)</f>
        <v/>
      </c>
      <c r="B148" s="45" t="str">
        <f aca="false">IF($A148="","",POPrefix&amp;$A148)</f>
        <v/>
      </c>
      <c r="C148" s="50"/>
      <c r="D148" s="27"/>
      <c r="E148" s="27"/>
      <c r="F148" s="27"/>
      <c r="G148" s="27"/>
      <c r="H148" s="27"/>
      <c r="I148" s="27"/>
      <c r="J148" s="27"/>
      <c r="K148" s="50"/>
      <c r="L148" s="27"/>
      <c r="M148" s="28"/>
      <c r="N148" s="28"/>
      <c r="O148" s="28"/>
      <c r="P148" s="26" t="str">
        <f aca="false">IF($C148="","",IF(OR($L148="Closed",$L148="Cancelled"),0,MAX(0,$M148-$O148)))</f>
        <v/>
      </c>
      <c r="Q148" s="45" t="str">
        <f aca="true">IF(OR($C148="",$L148="Closed",$L148="Cancelled",$L148="Invoiced"),"",MAX(0,TODAY()-$C148))</f>
        <v/>
      </c>
      <c r="R148" s="50"/>
      <c r="S148" s="47" t="str">
        <f aca="true">IF($C148="","",IF(AND($O148&gt;0,$O148&gt;$M148),"Invoice over PO - check",IF(AND($J148="Pending approval",TODAY()-$C148&gt;AlertDays),"Approval waiting",IF(AND($R148&lt;&gt;"",$R148&lt;TODAY(),OR($L148="Open",$L148="Partially received")),"Delivery overdue",""))))</f>
        <v/>
      </c>
      <c r="T148" s="27"/>
      <c r="U148" s="50"/>
      <c r="V148" s="27"/>
      <c r="W148" s="27"/>
      <c r="X148" s="48" t="str">
        <f aca="false">IF(OR($U148="",$C148=""),"",$U148+IF($V148="",TermsDays,$V148))</f>
        <v/>
      </c>
      <c r="Y148" s="27"/>
      <c r="Z148" s="49" t="str">
        <f aca="false">IF($L148="Invoiced",COUNTIF($L$6:$L148,"Invoiced"),"")</f>
        <v/>
      </c>
    </row>
    <row r="149" customFormat="false" ht="15" hidden="false" customHeight="false" outlineLevel="0" collapsed="false">
      <c r="A149" s="45" t="str">
        <f aca="false">IF($C149="","",POStart+COUNTA($C$6:$C149)-1)</f>
        <v/>
      </c>
      <c r="B149" s="45" t="str">
        <f aca="false">IF($A149="","",POPrefix&amp;$A149)</f>
        <v/>
      </c>
      <c r="C149" s="50"/>
      <c r="D149" s="27"/>
      <c r="E149" s="27"/>
      <c r="F149" s="27"/>
      <c r="G149" s="27"/>
      <c r="H149" s="27"/>
      <c r="I149" s="27"/>
      <c r="J149" s="27"/>
      <c r="K149" s="50"/>
      <c r="L149" s="27"/>
      <c r="M149" s="28"/>
      <c r="N149" s="28"/>
      <c r="O149" s="28"/>
      <c r="P149" s="26" t="str">
        <f aca="false">IF($C149="","",IF(OR($L149="Closed",$L149="Cancelled"),0,MAX(0,$M149-$O149)))</f>
        <v/>
      </c>
      <c r="Q149" s="45" t="str">
        <f aca="true">IF(OR($C149="",$L149="Closed",$L149="Cancelled",$L149="Invoiced"),"",MAX(0,TODAY()-$C149))</f>
        <v/>
      </c>
      <c r="R149" s="50"/>
      <c r="S149" s="47" t="str">
        <f aca="true">IF($C149="","",IF(AND($O149&gt;0,$O149&gt;$M149),"Invoice over PO - check",IF(AND($J149="Pending approval",TODAY()-$C149&gt;AlertDays),"Approval waiting",IF(AND($R149&lt;&gt;"",$R149&lt;TODAY(),OR($L149="Open",$L149="Partially received")),"Delivery overdue",""))))</f>
        <v/>
      </c>
      <c r="T149" s="27"/>
      <c r="U149" s="50"/>
      <c r="V149" s="27"/>
      <c r="W149" s="27"/>
      <c r="X149" s="48" t="str">
        <f aca="false">IF(OR($U149="",$C149=""),"",$U149+IF($V149="",TermsDays,$V149))</f>
        <v/>
      </c>
      <c r="Y149" s="27"/>
      <c r="Z149" s="49" t="str">
        <f aca="false">IF($L149="Invoiced",COUNTIF($L$6:$L149,"Invoiced"),"")</f>
        <v/>
      </c>
    </row>
    <row r="150" customFormat="false" ht="15" hidden="false" customHeight="false" outlineLevel="0" collapsed="false">
      <c r="A150" s="45" t="str">
        <f aca="false">IF($C150="","",POStart+COUNTA($C$6:$C150)-1)</f>
        <v/>
      </c>
      <c r="B150" s="45" t="str">
        <f aca="false">IF($A150="","",POPrefix&amp;$A150)</f>
        <v/>
      </c>
      <c r="C150" s="50"/>
      <c r="D150" s="27"/>
      <c r="E150" s="27"/>
      <c r="F150" s="27"/>
      <c r="G150" s="27"/>
      <c r="H150" s="27"/>
      <c r="I150" s="27"/>
      <c r="J150" s="27"/>
      <c r="K150" s="50"/>
      <c r="L150" s="27"/>
      <c r="M150" s="28"/>
      <c r="N150" s="28"/>
      <c r="O150" s="28"/>
      <c r="P150" s="26" t="str">
        <f aca="false">IF($C150="","",IF(OR($L150="Closed",$L150="Cancelled"),0,MAX(0,$M150-$O150)))</f>
        <v/>
      </c>
      <c r="Q150" s="45" t="str">
        <f aca="true">IF(OR($C150="",$L150="Closed",$L150="Cancelled",$L150="Invoiced"),"",MAX(0,TODAY()-$C150))</f>
        <v/>
      </c>
      <c r="R150" s="50"/>
      <c r="S150" s="47" t="str">
        <f aca="true">IF($C150="","",IF(AND($O150&gt;0,$O150&gt;$M150),"Invoice over PO - check",IF(AND($J150="Pending approval",TODAY()-$C150&gt;AlertDays),"Approval waiting",IF(AND($R150&lt;&gt;"",$R150&lt;TODAY(),OR($L150="Open",$L150="Partially received")),"Delivery overdue",""))))</f>
        <v/>
      </c>
      <c r="T150" s="27"/>
      <c r="U150" s="50"/>
      <c r="V150" s="27"/>
      <c r="W150" s="27"/>
      <c r="X150" s="48" t="str">
        <f aca="false">IF(OR($U150="",$C150=""),"",$U150+IF($V150="",TermsDays,$V150))</f>
        <v/>
      </c>
      <c r="Y150" s="27"/>
      <c r="Z150" s="49" t="str">
        <f aca="false">IF($L150="Invoiced",COUNTIF($L$6:$L150,"Invoiced"),"")</f>
        <v/>
      </c>
    </row>
    <row r="151" customFormat="false" ht="15" hidden="false" customHeight="false" outlineLevel="0" collapsed="false">
      <c r="A151" s="45" t="str">
        <f aca="false">IF($C151="","",POStart+COUNTA($C$6:$C151)-1)</f>
        <v/>
      </c>
      <c r="B151" s="45" t="str">
        <f aca="false">IF($A151="","",POPrefix&amp;$A151)</f>
        <v/>
      </c>
      <c r="C151" s="50"/>
      <c r="D151" s="27"/>
      <c r="E151" s="27"/>
      <c r="F151" s="27"/>
      <c r="G151" s="27"/>
      <c r="H151" s="27"/>
      <c r="I151" s="27"/>
      <c r="J151" s="27"/>
      <c r="K151" s="50"/>
      <c r="L151" s="27"/>
      <c r="M151" s="28"/>
      <c r="N151" s="28"/>
      <c r="O151" s="28"/>
      <c r="P151" s="26" t="str">
        <f aca="false">IF($C151="","",IF(OR($L151="Closed",$L151="Cancelled"),0,MAX(0,$M151-$O151)))</f>
        <v/>
      </c>
      <c r="Q151" s="45" t="str">
        <f aca="true">IF(OR($C151="",$L151="Closed",$L151="Cancelled",$L151="Invoiced"),"",MAX(0,TODAY()-$C151))</f>
        <v/>
      </c>
      <c r="R151" s="50"/>
      <c r="S151" s="47" t="str">
        <f aca="true">IF($C151="","",IF(AND($O151&gt;0,$O151&gt;$M151),"Invoice over PO - check",IF(AND($J151="Pending approval",TODAY()-$C151&gt;AlertDays),"Approval waiting",IF(AND($R151&lt;&gt;"",$R151&lt;TODAY(),OR($L151="Open",$L151="Partially received")),"Delivery overdue",""))))</f>
        <v/>
      </c>
      <c r="T151" s="27"/>
      <c r="U151" s="50"/>
      <c r="V151" s="27"/>
      <c r="W151" s="27"/>
      <c r="X151" s="48" t="str">
        <f aca="false">IF(OR($U151="",$C151=""),"",$U151+IF($V151="",TermsDays,$V151))</f>
        <v/>
      </c>
      <c r="Y151" s="27"/>
      <c r="Z151" s="49" t="str">
        <f aca="false">IF($L151="Invoiced",COUNTIF($L$6:$L151,"Invoiced"),"")</f>
        <v/>
      </c>
    </row>
    <row r="152" customFormat="false" ht="15" hidden="false" customHeight="false" outlineLevel="0" collapsed="false">
      <c r="A152" s="45" t="str">
        <f aca="false">IF($C152="","",POStart+COUNTA($C$6:$C152)-1)</f>
        <v/>
      </c>
      <c r="B152" s="45" t="str">
        <f aca="false">IF($A152="","",POPrefix&amp;$A152)</f>
        <v/>
      </c>
      <c r="C152" s="50"/>
      <c r="D152" s="27"/>
      <c r="E152" s="27"/>
      <c r="F152" s="27"/>
      <c r="G152" s="27"/>
      <c r="H152" s="27"/>
      <c r="I152" s="27"/>
      <c r="J152" s="27"/>
      <c r="K152" s="50"/>
      <c r="L152" s="27"/>
      <c r="M152" s="28"/>
      <c r="N152" s="28"/>
      <c r="O152" s="28"/>
      <c r="P152" s="26" t="str">
        <f aca="false">IF($C152="","",IF(OR($L152="Closed",$L152="Cancelled"),0,MAX(0,$M152-$O152)))</f>
        <v/>
      </c>
      <c r="Q152" s="45" t="str">
        <f aca="true">IF(OR($C152="",$L152="Closed",$L152="Cancelled",$L152="Invoiced"),"",MAX(0,TODAY()-$C152))</f>
        <v/>
      </c>
      <c r="R152" s="50"/>
      <c r="S152" s="47" t="str">
        <f aca="true">IF($C152="","",IF(AND($O152&gt;0,$O152&gt;$M152),"Invoice over PO - check",IF(AND($J152="Pending approval",TODAY()-$C152&gt;AlertDays),"Approval waiting",IF(AND($R152&lt;&gt;"",$R152&lt;TODAY(),OR($L152="Open",$L152="Partially received")),"Delivery overdue",""))))</f>
        <v/>
      </c>
      <c r="T152" s="27"/>
      <c r="U152" s="50"/>
      <c r="V152" s="27"/>
      <c r="W152" s="27"/>
      <c r="X152" s="48" t="str">
        <f aca="false">IF(OR($U152="",$C152=""),"",$U152+IF($V152="",TermsDays,$V152))</f>
        <v/>
      </c>
      <c r="Y152" s="27"/>
      <c r="Z152" s="49" t="str">
        <f aca="false">IF($L152="Invoiced",COUNTIF($L$6:$L152,"Invoiced"),"")</f>
        <v/>
      </c>
    </row>
    <row r="153" customFormat="false" ht="15" hidden="false" customHeight="false" outlineLevel="0" collapsed="false">
      <c r="A153" s="45" t="str">
        <f aca="false">IF($C153="","",POStart+COUNTA($C$6:$C153)-1)</f>
        <v/>
      </c>
      <c r="B153" s="45" t="str">
        <f aca="false">IF($A153="","",POPrefix&amp;$A153)</f>
        <v/>
      </c>
      <c r="C153" s="50"/>
      <c r="D153" s="27"/>
      <c r="E153" s="27"/>
      <c r="F153" s="27"/>
      <c r="G153" s="27"/>
      <c r="H153" s="27"/>
      <c r="I153" s="27"/>
      <c r="J153" s="27"/>
      <c r="K153" s="50"/>
      <c r="L153" s="27"/>
      <c r="M153" s="28"/>
      <c r="N153" s="28"/>
      <c r="O153" s="28"/>
      <c r="P153" s="26" t="str">
        <f aca="false">IF($C153="","",IF(OR($L153="Closed",$L153="Cancelled"),0,MAX(0,$M153-$O153)))</f>
        <v/>
      </c>
      <c r="Q153" s="45" t="str">
        <f aca="true">IF(OR($C153="",$L153="Closed",$L153="Cancelled",$L153="Invoiced"),"",MAX(0,TODAY()-$C153))</f>
        <v/>
      </c>
      <c r="R153" s="50"/>
      <c r="S153" s="47" t="str">
        <f aca="true">IF($C153="","",IF(AND($O153&gt;0,$O153&gt;$M153),"Invoice over PO - check",IF(AND($J153="Pending approval",TODAY()-$C153&gt;AlertDays),"Approval waiting",IF(AND($R153&lt;&gt;"",$R153&lt;TODAY(),OR($L153="Open",$L153="Partially received")),"Delivery overdue",""))))</f>
        <v/>
      </c>
      <c r="T153" s="27"/>
      <c r="U153" s="50"/>
      <c r="V153" s="27"/>
      <c r="W153" s="27"/>
      <c r="X153" s="48" t="str">
        <f aca="false">IF(OR($U153="",$C153=""),"",$U153+IF($V153="",TermsDays,$V153))</f>
        <v/>
      </c>
      <c r="Y153" s="27"/>
      <c r="Z153" s="49" t="str">
        <f aca="false">IF($L153="Invoiced",COUNTIF($L$6:$L153,"Invoiced"),"")</f>
        <v/>
      </c>
    </row>
    <row r="154" customFormat="false" ht="15" hidden="false" customHeight="false" outlineLevel="0" collapsed="false">
      <c r="A154" s="45" t="str">
        <f aca="false">IF($C154="","",POStart+COUNTA($C$6:$C154)-1)</f>
        <v/>
      </c>
      <c r="B154" s="45" t="str">
        <f aca="false">IF($A154="","",POPrefix&amp;$A154)</f>
        <v/>
      </c>
      <c r="C154" s="50"/>
      <c r="D154" s="27"/>
      <c r="E154" s="27"/>
      <c r="F154" s="27"/>
      <c r="G154" s="27"/>
      <c r="H154" s="27"/>
      <c r="I154" s="27"/>
      <c r="J154" s="27"/>
      <c r="K154" s="50"/>
      <c r="L154" s="27"/>
      <c r="M154" s="28"/>
      <c r="N154" s="28"/>
      <c r="O154" s="28"/>
      <c r="P154" s="26" t="str">
        <f aca="false">IF($C154="","",IF(OR($L154="Closed",$L154="Cancelled"),0,MAX(0,$M154-$O154)))</f>
        <v/>
      </c>
      <c r="Q154" s="45" t="str">
        <f aca="true">IF(OR($C154="",$L154="Closed",$L154="Cancelled",$L154="Invoiced"),"",MAX(0,TODAY()-$C154))</f>
        <v/>
      </c>
      <c r="R154" s="50"/>
      <c r="S154" s="47" t="str">
        <f aca="true">IF($C154="","",IF(AND($O154&gt;0,$O154&gt;$M154),"Invoice over PO - check",IF(AND($J154="Pending approval",TODAY()-$C154&gt;AlertDays),"Approval waiting",IF(AND($R154&lt;&gt;"",$R154&lt;TODAY(),OR($L154="Open",$L154="Partially received")),"Delivery overdue",""))))</f>
        <v/>
      </c>
      <c r="T154" s="27"/>
      <c r="U154" s="50"/>
      <c r="V154" s="27"/>
      <c r="W154" s="27"/>
      <c r="X154" s="48" t="str">
        <f aca="false">IF(OR($U154="",$C154=""),"",$U154+IF($V154="",TermsDays,$V154))</f>
        <v/>
      </c>
      <c r="Y154" s="27"/>
      <c r="Z154" s="49" t="str">
        <f aca="false">IF($L154="Invoiced",COUNTIF($L$6:$L154,"Invoiced"),"")</f>
        <v/>
      </c>
    </row>
    <row r="155" customFormat="false" ht="15" hidden="false" customHeight="false" outlineLevel="0" collapsed="false">
      <c r="A155" s="45" t="str">
        <f aca="false">IF($C155="","",POStart+COUNTA($C$6:$C155)-1)</f>
        <v/>
      </c>
      <c r="B155" s="45" t="str">
        <f aca="false">IF($A155="","",POPrefix&amp;$A155)</f>
        <v/>
      </c>
      <c r="C155" s="50"/>
      <c r="D155" s="27"/>
      <c r="E155" s="27"/>
      <c r="F155" s="27"/>
      <c r="G155" s="27"/>
      <c r="H155" s="27"/>
      <c r="I155" s="27"/>
      <c r="J155" s="27"/>
      <c r="K155" s="50"/>
      <c r="L155" s="27"/>
      <c r="M155" s="28"/>
      <c r="N155" s="28"/>
      <c r="O155" s="28"/>
      <c r="P155" s="26" t="str">
        <f aca="false">IF($C155="","",IF(OR($L155="Closed",$L155="Cancelled"),0,MAX(0,$M155-$O155)))</f>
        <v/>
      </c>
      <c r="Q155" s="45" t="str">
        <f aca="true">IF(OR($C155="",$L155="Closed",$L155="Cancelled",$L155="Invoiced"),"",MAX(0,TODAY()-$C155))</f>
        <v/>
      </c>
      <c r="R155" s="50"/>
      <c r="S155" s="47" t="str">
        <f aca="true">IF($C155="","",IF(AND($O155&gt;0,$O155&gt;$M155),"Invoice over PO - check",IF(AND($J155="Pending approval",TODAY()-$C155&gt;AlertDays),"Approval waiting",IF(AND($R155&lt;&gt;"",$R155&lt;TODAY(),OR($L155="Open",$L155="Partially received")),"Delivery overdue",""))))</f>
        <v/>
      </c>
      <c r="T155" s="27"/>
      <c r="U155" s="50"/>
      <c r="V155" s="27"/>
      <c r="W155" s="27"/>
      <c r="X155" s="48" t="str">
        <f aca="false">IF(OR($U155="",$C155=""),"",$U155+IF($V155="",TermsDays,$V155))</f>
        <v/>
      </c>
      <c r="Y155" s="27"/>
      <c r="Z155" s="49" t="str">
        <f aca="false">IF($L155="Invoiced",COUNTIF($L$6:$L155,"Invoiced"),"")</f>
        <v/>
      </c>
    </row>
    <row r="156" customFormat="false" ht="15" hidden="false" customHeight="false" outlineLevel="0" collapsed="false">
      <c r="A156" s="45" t="str">
        <f aca="false">IF($C156="","",POStart+COUNTA($C$6:$C156)-1)</f>
        <v/>
      </c>
      <c r="B156" s="45" t="str">
        <f aca="false">IF($A156="","",POPrefix&amp;$A156)</f>
        <v/>
      </c>
      <c r="C156" s="50"/>
      <c r="D156" s="27"/>
      <c r="E156" s="27"/>
      <c r="F156" s="27"/>
      <c r="G156" s="27"/>
      <c r="H156" s="27"/>
      <c r="I156" s="27"/>
      <c r="J156" s="27"/>
      <c r="K156" s="50"/>
      <c r="L156" s="27"/>
      <c r="M156" s="28"/>
      <c r="N156" s="28"/>
      <c r="O156" s="28"/>
      <c r="P156" s="26" t="str">
        <f aca="false">IF($C156="","",IF(OR($L156="Closed",$L156="Cancelled"),0,MAX(0,$M156-$O156)))</f>
        <v/>
      </c>
      <c r="Q156" s="45" t="str">
        <f aca="true">IF(OR($C156="",$L156="Closed",$L156="Cancelled",$L156="Invoiced"),"",MAX(0,TODAY()-$C156))</f>
        <v/>
      </c>
      <c r="R156" s="50"/>
      <c r="S156" s="47" t="str">
        <f aca="true">IF($C156="","",IF(AND($O156&gt;0,$O156&gt;$M156),"Invoice over PO - check",IF(AND($J156="Pending approval",TODAY()-$C156&gt;AlertDays),"Approval waiting",IF(AND($R156&lt;&gt;"",$R156&lt;TODAY(),OR($L156="Open",$L156="Partially received")),"Delivery overdue",""))))</f>
        <v/>
      </c>
      <c r="T156" s="27"/>
      <c r="U156" s="50"/>
      <c r="V156" s="27"/>
      <c r="W156" s="27"/>
      <c r="X156" s="48" t="str">
        <f aca="false">IF(OR($U156="",$C156=""),"",$U156+IF($V156="",TermsDays,$V156))</f>
        <v/>
      </c>
      <c r="Y156" s="27"/>
      <c r="Z156" s="49" t="str">
        <f aca="false">IF($L156="Invoiced",COUNTIF($L$6:$L156,"Invoiced"),"")</f>
        <v/>
      </c>
    </row>
    <row r="157" customFormat="false" ht="15" hidden="false" customHeight="false" outlineLevel="0" collapsed="false">
      <c r="A157" s="45" t="str">
        <f aca="false">IF($C157="","",POStart+COUNTA($C$6:$C157)-1)</f>
        <v/>
      </c>
      <c r="B157" s="45" t="str">
        <f aca="false">IF($A157="","",POPrefix&amp;$A157)</f>
        <v/>
      </c>
      <c r="C157" s="50"/>
      <c r="D157" s="27"/>
      <c r="E157" s="27"/>
      <c r="F157" s="27"/>
      <c r="G157" s="27"/>
      <c r="H157" s="27"/>
      <c r="I157" s="27"/>
      <c r="J157" s="27"/>
      <c r="K157" s="50"/>
      <c r="L157" s="27"/>
      <c r="M157" s="28"/>
      <c r="N157" s="28"/>
      <c r="O157" s="28"/>
      <c r="P157" s="26" t="str">
        <f aca="false">IF($C157="","",IF(OR($L157="Closed",$L157="Cancelled"),0,MAX(0,$M157-$O157)))</f>
        <v/>
      </c>
      <c r="Q157" s="45" t="str">
        <f aca="true">IF(OR($C157="",$L157="Closed",$L157="Cancelled",$L157="Invoiced"),"",MAX(0,TODAY()-$C157))</f>
        <v/>
      </c>
      <c r="R157" s="50"/>
      <c r="S157" s="47" t="str">
        <f aca="true">IF($C157="","",IF(AND($O157&gt;0,$O157&gt;$M157),"Invoice over PO - check",IF(AND($J157="Pending approval",TODAY()-$C157&gt;AlertDays),"Approval waiting",IF(AND($R157&lt;&gt;"",$R157&lt;TODAY(),OR($L157="Open",$L157="Partially received")),"Delivery overdue",""))))</f>
        <v/>
      </c>
      <c r="T157" s="27"/>
      <c r="U157" s="50"/>
      <c r="V157" s="27"/>
      <c r="W157" s="27"/>
      <c r="X157" s="48" t="str">
        <f aca="false">IF(OR($U157="",$C157=""),"",$U157+IF($V157="",TermsDays,$V157))</f>
        <v/>
      </c>
      <c r="Y157" s="27"/>
      <c r="Z157" s="49" t="str">
        <f aca="false">IF($L157="Invoiced",COUNTIF($L$6:$L157,"Invoiced"),"")</f>
        <v/>
      </c>
    </row>
    <row r="158" customFormat="false" ht="15" hidden="false" customHeight="false" outlineLevel="0" collapsed="false">
      <c r="A158" s="45" t="str">
        <f aca="false">IF($C158="","",POStart+COUNTA($C$6:$C158)-1)</f>
        <v/>
      </c>
      <c r="B158" s="45" t="str">
        <f aca="false">IF($A158="","",POPrefix&amp;$A158)</f>
        <v/>
      </c>
      <c r="C158" s="50"/>
      <c r="D158" s="27"/>
      <c r="E158" s="27"/>
      <c r="F158" s="27"/>
      <c r="G158" s="27"/>
      <c r="H158" s="27"/>
      <c r="I158" s="27"/>
      <c r="J158" s="27"/>
      <c r="K158" s="50"/>
      <c r="L158" s="27"/>
      <c r="M158" s="28"/>
      <c r="N158" s="28"/>
      <c r="O158" s="28"/>
      <c r="P158" s="26" t="str">
        <f aca="false">IF($C158="","",IF(OR($L158="Closed",$L158="Cancelled"),0,MAX(0,$M158-$O158)))</f>
        <v/>
      </c>
      <c r="Q158" s="45" t="str">
        <f aca="true">IF(OR($C158="",$L158="Closed",$L158="Cancelled",$L158="Invoiced"),"",MAX(0,TODAY()-$C158))</f>
        <v/>
      </c>
      <c r="R158" s="50"/>
      <c r="S158" s="47" t="str">
        <f aca="true">IF($C158="","",IF(AND($O158&gt;0,$O158&gt;$M158),"Invoice over PO - check",IF(AND($J158="Pending approval",TODAY()-$C158&gt;AlertDays),"Approval waiting",IF(AND($R158&lt;&gt;"",$R158&lt;TODAY(),OR($L158="Open",$L158="Partially received")),"Delivery overdue",""))))</f>
        <v/>
      </c>
      <c r="T158" s="27"/>
      <c r="U158" s="50"/>
      <c r="V158" s="27"/>
      <c r="W158" s="27"/>
      <c r="X158" s="48" t="str">
        <f aca="false">IF(OR($U158="",$C158=""),"",$U158+IF($V158="",TermsDays,$V158))</f>
        <v/>
      </c>
      <c r="Y158" s="27"/>
      <c r="Z158" s="49" t="str">
        <f aca="false">IF($L158="Invoiced",COUNTIF($L$6:$L158,"Invoiced"),"")</f>
        <v/>
      </c>
    </row>
    <row r="159" customFormat="false" ht="15" hidden="false" customHeight="false" outlineLevel="0" collapsed="false">
      <c r="A159" s="45" t="str">
        <f aca="false">IF($C159="","",POStart+COUNTA($C$6:$C159)-1)</f>
        <v/>
      </c>
      <c r="B159" s="45" t="str">
        <f aca="false">IF($A159="","",POPrefix&amp;$A159)</f>
        <v/>
      </c>
      <c r="C159" s="50"/>
      <c r="D159" s="27"/>
      <c r="E159" s="27"/>
      <c r="F159" s="27"/>
      <c r="G159" s="27"/>
      <c r="H159" s="27"/>
      <c r="I159" s="27"/>
      <c r="J159" s="27"/>
      <c r="K159" s="50"/>
      <c r="L159" s="27"/>
      <c r="M159" s="28"/>
      <c r="N159" s="28"/>
      <c r="O159" s="28"/>
      <c r="P159" s="26" t="str">
        <f aca="false">IF($C159="","",IF(OR($L159="Closed",$L159="Cancelled"),0,MAX(0,$M159-$O159)))</f>
        <v/>
      </c>
      <c r="Q159" s="45" t="str">
        <f aca="true">IF(OR($C159="",$L159="Closed",$L159="Cancelled",$L159="Invoiced"),"",MAX(0,TODAY()-$C159))</f>
        <v/>
      </c>
      <c r="R159" s="50"/>
      <c r="S159" s="47" t="str">
        <f aca="true">IF($C159="","",IF(AND($O159&gt;0,$O159&gt;$M159),"Invoice over PO - check",IF(AND($J159="Pending approval",TODAY()-$C159&gt;AlertDays),"Approval waiting",IF(AND($R159&lt;&gt;"",$R159&lt;TODAY(),OR($L159="Open",$L159="Partially received")),"Delivery overdue",""))))</f>
        <v/>
      </c>
      <c r="T159" s="27"/>
      <c r="U159" s="50"/>
      <c r="V159" s="27"/>
      <c r="W159" s="27"/>
      <c r="X159" s="48" t="str">
        <f aca="false">IF(OR($U159="",$C159=""),"",$U159+IF($V159="",TermsDays,$V159))</f>
        <v/>
      </c>
      <c r="Y159" s="27"/>
      <c r="Z159" s="49" t="str">
        <f aca="false">IF($L159="Invoiced",COUNTIF($L$6:$L159,"Invoiced"),"")</f>
        <v/>
      </c>
    </row>
    <row r="160" customFormat="false" ht="15" hidden="false" customHeight="false" outlineLevel="0" collapsed="false">
      <c r="A160" s="45" t="str">
        <f aca="false">IF($C160="","",POStart+COUNTA($C$6:$C160)-1)</f>
        <v/>
      </c>
      <c r="B160" s="45" t="str">
        <f aca="false">IF($A160="","",POPrefix&amp;$A160)</f>
        <v/>
      </c>
      <c r="C160" s="50"/>
      <c r="D160" s="27"/>
      <c r="E160" s="27"/>
      <c r="F160" s="27"/>
      <c r="G160" s="27"/>
      <c r="H160" s="27"/>
      <c r="I160" s="27"/>
      <c r="J160" s="27"/>
      <c r="K160" s="50"/>
      <c r="L160" s="27"/>
      <c r="M160" s="28"/>
      <c r="N160" s="28"/>
      <c r="O160" s="28"/>
      <c r="P160" s="26" t="str">
        <f aca="false">IF($C160="","",IF(OR($L160="Closed",$L160="Cancelled"),0,MAX(0,$M160-$O160)))</f>
        <v/>
      </c>
      <c r="Q160" s="45" t="str">
        <f aca="true">IF(OR($C160="",$L160="Closed",$L160="Cancelled",$L160="Invoiced"),"",MAX(0,TODAY()-$C160))</f>
        <v/>
      </c>
      <c r="R160" s="50"/>
      <c r="S160" s="47" t="str">
        <f aca="true">IF($C160="","",IF(AND($O160&gt;0,$O160&gt;$M160),"Invoice over PO - check",IF(AND($J160="Pending approval",TODAY()-$C160&gt;AlertDays),"Approval waiting",IF(AND($R160&lt;&gt;"",$R160&lt;TODAY(),OR($L160="Open",$L160="Partially received")),"Delivery overdue",""))))</f>
        <v/>
      </c>
      <c r="T160" s="27"/>
      <c r="U160" s="50"/>
      <c r="V160" s="27"/>
      <c r="W160" s="27"/>
      <c r="X160" s="48" t="str">
        <f aca="false">IF(OR($U160="",$C160=""),"",$U160+IF($V160="",TermsDays,$V160))</f>
        <v/>
      </c>
      <c r="Y160" s="27"/>
      <c r="Z160" s="49" t="str">
        <f aca="false">IF($L160="Invoiced",COUNTIF($L$6:$L160,"Invoiced"),"")</f>
        <v/>
      </c>
    </row>
    <row r="161" customFormat="false" ht="15" hidden="false" customHeight="false" outlineLevel="0" collapsed="false">
      <c r="A161" s="45" t="str">
        <f aca="false">IF($C161="","",POStart+COUNTA($C$6:$C161)-1)</f>
        <v/>
      </c>
      <c r="B161" s="45" t="str">
        <f aca="false">IF($A161="","",POPrefix&amp;$A161)</f>
        <v/>
      </c>
      <c r="C161" s="50"/>
      <c r="D161" s="27"/>
      <c r="E161" s="27"/>
      <c r="F161" s="27"/>
      <c r="G161" s="27"/>
      <c r="H161" s="27"/>
      <c r="I161" s="27"/>
      <c r="J161" s="27"/>
      <c r="K161" s="50"/>
      <c r="L161" s="27"/>
      <c r="M161" s="28"/>
      <c r="N161" s="28"/>
      <c r="O161" s="28"/>
      <c r="P161" s="26" t="str">
        <f aca="false">IF($C161="","",IF(OR($L161="Closed",$L161="Cancelled"),0,MAX(0,$M161-$O161)))</f>
        <v/>
      </c>
      <c r="Q161" s="45" t="str">
        <f aca="true">IF(OR($C161="",$L161="Closed",$L161="Cancelled",$L161="Invoiced"),"",MAX(0,TODAY()-$C161))</f>
        <v/>
      </c>
      <c r="R161" s="50"/>
      <c r="S161" s="47" t="str">
        <f aca="true">IF($C161="","",IF(AND($O161&gt;0,$O161&gt;$M161),"Invoice over PO - check",IF(AND($J161="Pending approval",TODAY()-$C161&gt;AlertDays),"Approval waiting",IF(AND($R161&lt;&gt;"",$R161&lt;TODAY(),OR($L161="Open",$L161="Partially received")),"Delivery overdue",""))))</f>
        <v/>
      </c>
      <c r="T161" s="27"/>
      <c r="U161" s="50"/>
      <c r="V161" s="27"/>
      <c r="W161" s="27"/>
      <c r="X161" s="48" t="str">
        <f aca="false">IF(OR($U161="",$C161=""),"",$U161+IF($V161="",TermsDays,$V161))</f>
        <v/>
      </c>
      <c r="Y161" s="27"/>
      <c r="Z161" s="49" t="str">
        <f aca="false">IF($L161="Invoiced",COUNTIF($L$6:$L161,"Invoiced"),"")</f>
        <v/>
      </c>
    </row>
    <row r="162" customFormat="false" ht="15" hidden="false" customHeight="false" outlineLevel="0" collapsed="false">
      <c r="A162" s="45" t="str">
        <f aca="false">IF($C162="","",POStart+COUNTA($C$6:$C162)-1)</f>
        <v/>
      </c>
      <c r="B162" s="45" t="str">
        <f aca="false">IF($A162="","",POPrefix&amp;$A162)</f>
        <v/>
      </c>
      <c r="C162" s="50"/>
      <c r="D162" s="27"/>
      <c r="E162" s="27"/>
      <c r="F162" s="27"/>
      <c r="G162" s="27"/>
      <c r="H162" s="27"/>
      <c r="I162" s="27"/>
      <c r="J162" s="27"/>
      <c r="K162" s="50"/>
      <c r="L162" s="27"/>
      <c r="M162" s="28"/>
      <c r="N162" s="28"/>
      <c r="O162" s="28"/>
      <c r="P162" s="26" t="str">
        <f aca="false">IF($C162="","",IF(OR($L162="Closed",$L162="Cancelled"),0,MAX(0,$M162-$O162)))</f>
        <v/>
      </c>
      <c r="Q162" s="45" t="str">
        <f aca="true">IF(OR($C162="",$L162="Closed",$L162="Cancelled",$L162="Invoiced"),"",MAX(0,TODAY()-$C162))</f>
        <v/>
      </c>
      <c r="R162" s="50"/>
      <c r="S162" s="47" t="str">
        <f aca="true">IF($C162="","",IF(AND($O162&gt;0,$O162&gt;$M162),"Invoice over PO - check",IF(AND($J162="Pending approval",TODAY()-$C162&gt;AlertDays),"Approval waiting",IF(AND($R162&lt;&gt;"",$R162&lt;TODAY(),OR($L162="Open",$L162="Partially received")),"Delivery overdue",""))))</f>
        <v/>
      </c>
      <c r="T162" s="27"/>
      <c r="U162" s="50"/>
      <c r="V162" s="27"/>
      <c r="W162" s="27"/>
      <c r="X162" s="48" t="str">
        <f aca="false">IF(OR($U162="",$C162=""),"",$U162+IF($V162="",TermsDays,$V162))</f>
        <v/>
      </c>
      <c r="Y162" s="27"/>
      <c r="Z162" s="49" t="str">
        <f aca="false">IF($L162="Invoiced",COUNTIF($L$6:$L162,"Invoiced"),"")</f>
        <v/>
      </c>
    </row>
    <row r="163" customFormat="false" ht="15" hidden="false" customHeight="false" outlineLevel="0" collapsed="false">
      <c r="A163" s="45" t="str">
        <f aca="false">IF($C163="","",POStart+COUNTA($C$6:$C163)-1)</f>
        <v/>
      </c>
      <c r="B163" s="45" t="str">
        <f aca="false">IF($A163="","",POPrefix&amp;$A163)</f>
        <v/>
      </c>
      <c r="C163" s="50"/>
      <c r="D163" s="27"/>
      <c r="E163" s="27"/>
      <c r="F163" s="27"/>
      <c r="G163" s="27"/>
      <c r="H163" s="27"/>
      <c r="I163" s="27"/>
      <c r="J163" s="27"/>
      <c r="K163" s="50"/>
      <c r="L163" s="27"/>
      <c r="M163" s="28"/>
      <c r="N163" s="28"/>
      <c r="O163" s="28"/>
      <c r="P163" s="26" t="str">
        <f aca="false">IF($C163="","",IF(OR($L163="Closed",$L163="Cancelled"),0,MAX(0,$M163-$O163)))</f>
        <v/>
      </c>
      <c r="Q163" s="45" t="str">
        <f aca="true">IF(OR($C163="",$L163="Closed",$L163="Cancelled",$L163="Invoiced"),"",MAX(0,TODAY()-$C163))</f>
        <v/>
      </c>
      <c r="R163" s="50"/>
      <c r="S163" s="47" t="str">
        <f aca="true">IF($C163="","",IF(AND($O163&gt;0,$O163&gt;$M163),"Invoice over PO - check",IF(AND($J163="Pending approval",TODAY()-$C163&gt;AlertDays),"Approval waiting",IF(AND($R163&lt;&gt;"",$R163&lt;TODAY(),OR($L163="Open",$L163="Partially received")),"Delivery overdue",""))))</f>
        <v/>
      </c>
      <c r="T163" s="27"/>
      <c r="U163" s="50"/>
      <c r="V163" s="27"/>
      <c r="W163" s="27"/>
      <c r="X163" s="48" t="str">
        <f aca="false">IF(OR($U163="",$C163=""),"",$U163+IF($V163="",TermsDays,$V163))</f>
        <v/>
      </c>
      <c r="Y163" s="27"/>
      <c r="Z163" s="49" t="str">
        <f aca="false">IF($L163="Invoiced",COUNTIF($L$6:$L163,"Invoiced"),"")</f>
        <v/>
      </c>
    </row>
    <row r="164" customFormat="false" ht="15" hidden="false" customHeight="false" outlineLevel="0" collapsed="false">
      <c r="A164" s="45" t="str">
        <f aca="false">IF($C164="","",POStart+COUNTA($C$6:$C164)-1)</f>
        <v/>
      </c>
      <c r="B164" s="45" t="str">
        <f aca="false">IF($A164="","",POPrefix&amp;$A164)</f>
        <v/>
      </c>
      <c r="C164" s="50"/>
      <c r="D164" s="27"/>
      <c r="E164" s="27"/>
      <c r="F164" s="27"/>
      <c r="G164" s="27"/>
      <c r="H164" s="27"/>
      <c r="I164" s="27"/>
      <c r="J164" s="27"/>
      <c r="K164" s="50"/>
      <c r="L164" s="27"/>
      <c r="M164" s="28"/>
      <c r="N164" s="28"/>
      <c r="O164" s="28"/>
      <c r="P164" s="26" t="str">
        <f aca="false">IF($C164="","",IF(OR($L164="Closed",$L164="Cancelled"),0,MAX(0,$M164-$O164)))</f>
        <v/>
      </c>
      <c r="Q164" s="45" t="str">
        <f aca="true">IF(OR($C164="",$L164="Closed",$L164="Cancelled",$L164="Invoiced"),"",MAX(0,TODAY()-$C164))</f>
        <v/>
      </c>
      <c r="R164" s="50"/>
      <c r="S164" s="47" t="str">
        <f aca="true">IF($C164="","",IF(AND($O164&gt;0,$O164&gt;$M164),"Invoice over PO - check",IF(AND($J164="Pending approval",TODAY()-$C164&gt;AlertDays),"Approval waiting",IF(AND($R164&lt;&gt;"",$R164&lt;TODAY(),OR($L164="Open",$L164="Partially received")),"Delivery overdue",""))))</f>
        <v/>
      </c>
      <c r="T164" s="27"/>
      <c r="U164" s="50"/>
      <c r="V164" s="27"/>
      <c r="W164" s="27"/>
      <c r="X164" s="48" t="str">
        <f aca="false">IF(OR($U164="",$C164=""),"",$U164+IF($V164="",TermsDays,$V164))</f>
        <v/>
      </c>
      <c r="Y164" s="27"/>
      <c r="Z164" s="49" t="str">
        <f aca="false">IF($L164="Invoiced",COUNTIF($L$6:$L164,"Invoiced"),"")</f>
        <v/>
      </c>
    </row>
    <row r="165" customFormat="false" ht="15" hidden="false" customHeight="false" outlineLevel="0" collapsed="false">
      <c r="A165" s="45" t="str">
        <f aca="false">IF($C165="","",POStart+COUNTA($C$6:$C165)-1)</f>
        <v/>
      </c>
      <c r="B165" s="45" t="str">
        <f aca="false">IF($A165="","",POPrefix&amp;$A165)</f>
        <v/>
      </c>
      <c r="C165" s="50"/>
      <c r="D165" s="27"/>
      <c r="E165" s="27"/>
      <c r="F165" s="27"/>
      <c r="G165" s="27"/>
      <c r="H165" s="27"/>
      <c r="I165" s="27"/>
      <c r="J165" s="27"/>
      <c r="K165" s="50"/>
      <c r="L165" s="27"/>
      <c r="M165" s="28"/>
      <c r="N165" s="28"/>
      <c r="O165" s="28"/>
      <c r="P165" s="26" t="str">
        <f aca="false">IF($C165="","",IF(OR($L165="Closed",$L165="Cancelled"),0,MAX(0,$M165-$O165)))</f>
        <v/>
      </c>
      <c r="Q165" s="45" t="str">
        <f aca="true">IF(OR($C165="",$L165="Closed",$L165="Cancelled",$L165="Invoiced"),"",MAX(0,TODAY()-$C165))</f>
        <v/>
      </c>
      <c r="R165" s="50"/>
      <c r="S165" s="47" t="str">
        <f aca="true">IF($C165="","",IF(AND($O165&gt;0,$O165&gt;$M165),"Invoice over PO - check",IF(AND($J165="Pending approval",TODAY()-$C165&gt;AlertDays),"Approval waiting",IF(AND($R165&lt;&gt;"",$R165&lt;TODAY(),OR($L165="Open",$L165="Partially received")),"Delivery overdue",""))))</f>
        <v/>
      </c>
      <c r="T165" s="27"/>
      <c r="U165" s="50"/>
      <c r="V165" s="27"/>
      <c r="W165" s="27"/>
      <c r="X165" s="48" t="str">
        <f aca="false">IF(OR($U165="",$C165=""),"",$U165+IF($V165="",TermsDays,$V165))</f>
        <v/>
      </c>
      <c r="Y165" s="27"/>
      <c r="Z165" s="49" t="str">
        <f aca="false">IF($L165="Invoiced",COUNTIF($L$6:$L165,"Invoiced"),"")</f>
        <v/>
      </c>
    </row>
    <row r="166" customFormat="false" ht="15" hidden="false" customHeight="false" outlineLevel="0" collapsed="false">
      <c r="A166" s="45" t="str">
        <f aca="false">IF($C166="","",POStart+COUNTA($C$6:$C166)-1)</f>
        <v/>
      </c>
      <c r="B166" s="45" t="str">
        <f aca="false">IF($A166="","",POPrefix&amp;$A166)</f>
        <v/>
      </c>
      <c r="C166" s="50"/>
      <c r="D166" s="27"/>
      <c r="E166" s="27"/>
      <c r="F166" s="27"/>
      <c r="G166" s="27"/>
      <c r="H166" s="27"/>
      <c r="I166" s="27"/>
      <c r="J166" s="27"/>
      <c r="K166" s="50"/>
      <c r="L166" s="27"/>
      <c r="M166" s="28"/>
      <c r="N166" s="28"/>
      <c r="O166" s="28"/>
      <c r="P166" s="26" t="str">
        <f aca="false">IF($C166="","",IF(OR($L166="Closed",$L166="Cancelled"),0,MAX(0,$M166-$O166)))</f>
        <v/>
      </c>
      <c r="Q166" s="45" t="str">
        <f aca="true">IF(OR($C166="",$L166="Closed",$L166="Cancelled",$L166="Invoiced"),"",MAX(0,TODAY()-$C166))</f>
        <v/>
      </c>
      <c r="R166" s="50"/>
      <c r="S166" s="47" t="str">
        <f aca="true">IF($C166="","",IF(AND($O166&gt;0,$O166&gt;$M166),"Invoice over PO - check",IF(AND($J166="Pending approval",TODAY()-$C166&gt;AlertDays),"Approval waiting",IF(AND($R166&lt;&gt;"",$R166&lt;TODAY(),OR($L166="Open",$L166="Partially received")),"Delivery overdue",""))))</f>
        <v/>
      </c>
      <c r="T166" s="27"/>
      <c r="U166" s="50"/>
      <c r="V166" s="27"/>
      <c r="W166" s="27"/>
      <c r="X166" s="48" t="str">
        <f aca="false">IF(OR($U166="",$C166=""),"",$U166+IF($V166="",TermsDays,$V166))</f>
        <v/>
      </c>
      <c r="Y166" s="27"/>
      <c r="Z166" s="49" t="str">
        <f aca="false">IF($L166="Invoiced",COUNTIF($L$6:$L166,"Invoiced"),"")</f>
        <v/>
      </c>
    </row>
    <row r="167" customFormat="false" ht="15" hidden="false" customHeight="false" outlineLevel="0" collapsed="false">
      <c r="A167" s="45" t="str">
        <f aca="false">IF($C167="","",POStart+COUNTA($C$6:$C167)-1)</f>
        <v/>
      </c>
      <c r="B167" s="45" t="str">
        <f aca="false">IF($A167="","",POPrefix&amp;$A167)</f>
        <v/>
      </c>
      <c r="C167" s="50"/>
      <c r="D167" s="27"/>
      <c r="E167" s="27"/>
      <c r="F167" s="27"/>
      <c r="G167" s="27"/>
      <c r="H167" s="27"/>
      <c r="I167" s="27"/>
      <c r="J167" s="27"/>
      <c r="K167" s="50"/>
      <c r="L167" s="27"/>
      <c r="M167" s="28"/>
      <c r="N167" s="28"/>
      <c r="O167" s="28"/>
      <c r="P167" s="26" t="str">
        <f aca="false">IF($C167="","",IF(OR($L167="Closed",$L167="Cancelled"),0,MAX(0,$M167-$O167)))</f>
        <v/>
      </c>
      <c r="Q167" s="45" t="str">
        <f aca="true">IF(OR($C167="",$L167="Closed",$L167="Cancelled",$L167="Invoiced"),"",MAX(0,TODAY()-$C167))</f>
        <v/>
      </c>
      <c r="R167" s="50"/>
      <c r="S167" s="47" t="str">
        <f aca="true">IF($C167="","",IF(AND($O167&gt;0,$O167&gt;$M167),"Invoice over PO - check",IF(AND($J167="Pending approval",TODAY()-$C167&gt;AlertDays),"Approval waiting",IF(AND($R167&lt;&gt;"",$R167&lt;TODAY(),OR($L167="Open",$L167="Partially received")),"Delivery overdue",""))))</f>
        <v/>
      </c>
      <c r="T167" s="27"/>
      <c r="U167" s="50"/>
      <c r="V167" s="27"/>
      <c r="W167" s="27"/>
      <c r="X167" s="48" t="str">
        <f aca="false">IF(OR($U167="",$C167=""),"",$U167+IF($V167="",TermsDays,$V167))</f>
        <v/>
      </c>
      <c r="Y167" s="27"/>
      <c r="Z167" s="49" t="str">
        <f aca="false">IF($L167="Invoiced",COUNTIF($L$6:$L167,"Invoiced"),"")</f>
        <v/>
      </c>
    </row>
    <row r="168" customFormat="false" ht="15" hidden="false" customHeight="false" outlineLevel="0" collapsed="false">
      <c r="A168" s="45" t="str">
        <f aca="false">IF($C168="","",POStart+COUNTA($C$6:$C168)-1)</f>
        <v/>
      </c>
      <c r="B168" s="45" t="str">
        <f aca="false">IF($A168="","",POPrefix&amp;$A168)</f>
        <v/>
      </c>
      <c r="C168" s="50"/>
      <c r="D168" s="27"/>
      <c r="E168" s="27"/>
      <c r="F168" s="27"/>
      <c r="G168" s="27"/>
      <c r="H168" s="27"/>
      <c r="I168" s="27"/>
      <c r="J168" s="27"/>
      <c r="K168" s="50"/>
      <c r="L168" s="27"/>
      <c r="M168" s="28"/>
      <c r="N168" s="28"/>
      <c r="O168" s="28"/>
      <c r="P168" s="26" t="str">
        <f aca="false">IF($C168="","",IF(OR($L168="Closed",$L168="Cancelled"),0,MAX(0,$M168-$O168)))</f>
        <v/>
      </c>
      <c r="Q168" s="45" t="str">
        <f aca="true">IF(OR($C168="",$L168="Closed",$L168="Cancelled",$L168="Invoiced"),"",MAX(0,TODAY()-$C168))</f>
        <v/>
      </c>
      <c r="R168" s="50"/>
      <c r="S168" s="47" t="str">
        <f aca="true">IF($C168="","",IF(AND($O168&gt;0,$O168&gt;$M168),"Invoice over PO - check",IF(AND($J168="Pending approval",TODAY()-$C168&gt;AlertDays),"Approval waiting",IF(AND($R168&lt;&gt;"",$R168&lt;TODAY(),OR($L168="Open",$L168="Partially received")),"Delivery overdue",""))))</f>
        <v/>
      </c>
      <c r="T168" s="27"/>
      <c r="U168" s="50"/>
      <c r="V168" s="27"/>
      <c r="W168" s="27"/>
      <c r="X168" s="48" t="str">
        <f aca="false">IF(OR($U168="",$C168=""),"",$U168+IF($V168="",TermsDays,$V168))</f>
        <v/>
      </c>
      <c r="Y168" s="27"/>
      <c r="Z168" s="49" t="str">
        <f aca="false">IF($L168="Invoiced",COUNTIF($L$6:$L168,"Invoiced"),"")</f>
        <v/>
      </c>
    </row>
    <row r="169" customFormat="false" ht="15" hidden="false" customHeight="false" outlineLevel="0" collapsed="false">
      <c r="A169" s="45" t="str">
        <f aca="false">IF($C169="","",POStart+COUNTA($C$6:$C169)-1)</f>
        <v/>
      </c>
      <c r="B169" s="45" t="str">
        <f aca="false">IF($A169="","",POPrefix&amp;$A169)</f>
        <v/>
      </c>
      <c r="C169" s="50"/>
      <c r="D169" s="27"/>
      <c r="E169" s="27"/>
      <c r="F169" s="27"/>
      <c r="G169" s="27"/>
      <c r="H169" s="27"/>
      <c r="I169" s="27"/>
      <c r="J169" s="27"/>
      <c r="K169" s="50"/>
      <c r="L169" s="27"/>
      <c r="M169" s="28"/>
      <c r="N169" s="28"/>
      <c r="O169" s="28"/>
      <c r="P169" s="26" t="str">
        <f aca="false">IF($C169="","",IF(OR($L169="Closed",$L169="Cancelled"),0,MAX(0,$M169-$O169)))</f>
        <v/>
      </c>
      <c r="Q169" s="45" t="str">
        <f aca="true">IF(OR($C169="",$L169="Closed",$L169="Cancelled",$L169="Invoiced"),"",MAX(0,TODAY()-$C169))</f>
        <v/>
      </c>
      <c r="R169" s="50"/>
      <c r="S169" s="47" t="str">
        <f aca="true">IF($C169="","",IF(AND($O169&gt;0,$O169&gt;$M169),"Invoice over PO - check",IF(AND($J169="Pending approval",TODAY()-$C169&gt;AlertDays),"Approval waiting",IF(AND($R169&lt;&gt;"",$R169&lt;TODAY(),OR($L169="Open",$L169="Partially received")),"Delivery overdue",""))))</f>
        <v/>
      </c>
      <c r="T169" s="27"/>
      <c r="U169" s="50"/>
      <c r="V169" s="27"/>
      <c r="W169" s="27"/>
      <c r="X169" s="48" t="str">
        <f aca="false">IF(OR($U169="",$C169=""),"",$U169+IF($V169="",TermsDays,$V169))</f>
        <v/>
      </c>
      <c r="Y169" s="27"/>
      <c r="Z169" s="49" t="str">
        <f aca="false">IF($L169="Invoiced",COUNTIF($L$6:$L169,"Invoiced"),"")</f>
        <v/>
      </c>
    </row>
    <row r="170" customFormat="false" ht="15" hidden="false" customHeight="false" outlineLevel="0" collapsed="false">
      <c r="A170" s="45" t="str">
        <f aca="false">IF($C170="","",POStart+COUNTA($C$6:$C170)-1)</f>
        <v/>
      </c>
      <c r="B170" s="45" t="str">
        <f aca="false">IF($A170="","",POPrefix&amp;$A170)</f>
        <v/>
      </c>
      <c r="C170" s="50"/>
      <c r="D170" s="27"/>
      <c r="E170" s="27"/>
      <c r="F170" s="27"/>
      <c r="G170" s="27"/>
      <c r="H170" s="27"/>
      <c r="I170" s="27"/>
      <c r="J170" s="27"/>
      <c r="K170" s="50"/>
      <c r="L170" s="27"/>
      <c r="M170" s="28"/>
      <c r="N170" s="28"/>
      <c r="O170" s="28"/>
      <c r="P170" s="26" t="str">
        <f aca="false">IF($C170="","",IF(OR($L170="Closed",$L170="Cancelled"),0,MAX(0,$M170-$O170)))</f>
        <v/>
      </c>
      <c r="Q170" s="45" t="str">
        <f aca="true">IF(OR($C170="",$L170="Closed",$L170="Cancelled",$L170="Invoiced"),"",MAX(0,TODAY()-$C170))</f>
        <v/>
      </c>
      <c r="R170" s="50"/>
      <c r="S170" s="47" t="str">
        <f aca="true">IF($C170="","",IF(AND($O170&gt;0,$O170&gt;$M170),"Invoice over PO - check",IF(AND($J170="Pending approval",TODAY()-$C170&gt;AlertDays),"Approval waiting",IF(AND($R170&lt;&gt;"",$R170&lt;TODAY(),OR($L170="Open",$L170="Partially received")),"Delivery overdue",""))))</f>
        <v/>
      </c>
      <c r="T170" s="27"/>
      <c r="U170" s="50"/>
      <c r="V170" s="27"/>
      <c r="W170" s="27"/>
      <c r="X170" s="48" t="str">
        <f aca="false">IF(OR($U170="",$C170=""),"",$U170+IF($V170="",TermsDays,$V170))</f>
        <v/>
      </c>
      <c r="Y170" s="27"/>
      <c r="Z170" s="49" t="str">
        <f aca="false">IF($L170="Invoiced",COUNTIF($L$6:$L170,"Invoiced"),"")</f>
        <v/>
      </c>
    </row>
    <row r="171" customFormat="false" ht="15" hidden="false" customHeight="false" outlineLevel="0" collapsed="false">
      <c r="A171" s="45" t="str">
        <f aca="false">IF($C171="","",POStart+COUNTA($C$6:$C171)-1)</f>
        <v/>
      </c>
      <c r="B171" s="45" t="str">
        <f aca="false">IF($A171="","",POPrefix&amp;$A171)</f>
        <v/>
      </c>
      <c r="C171" s="50"/>
      <c r="D171" s="27"/>
      <c r="E171" s="27"/>
      <c r="F171" s="27"/>
      <c r="G171" s="27"/>
      <c r="H171" s="27"/>
      <c r="I171" s="27"/>
      <c r="J171" s="27"/>
      <c r="K171" s="50"/>
      <c r="L171" s="27"/>
      <c r="M171" s="28"/>
      <c r="N171" s="28"/>
      <c r="O171" s="28"/>
      <c r="P171" s="26" t="str">
        <f aca="false">IF($C171="","",IF(OR($L171="Closed",$L171="Cancelled"),0,MAX(0,$M171-$O171)))</f>
        <v/>
      </c>
      <c r="Q171" s="45" t="str">
        <f aca="true">IF(OR($C171="",$L171="Closed",$L171="Cancelled",$L171="Invoiced"),"",MAX(0,TODAY()-$C171))</f>
        <v/>
      </c>
      <c r="R171" s="50"/>
      <c r="S171" s="47" t="str">
        <f aca="true">IF($C171="","",IF(AND($O171&gt;0,$O171&gt;$M171),"Invoice over PO - check",IF(AND($J171="Pending approval",TODAY()-$C171&gt;AlertDays),"Approval waiting",IF(AND($R171&lt;&gt;"",$R171&lt;TODAY(),OR($L171="Open",$L171="Partially received")),"Delivery overdue",""))))</f>
        <v/>
      </c>
      <c r="T171" s="27"/>
      <c r="U171" s="50"/>
      <c r="V171" s="27"/>
      <c r="W171" s="27"/>
      <c r="X171" s="48" t="str">
        <f aca="false">IF(OR($U171="",$C171=""),"",$U171+IF($V171="",TermsDays,$V171))</f>
        <v/>
      </c>
      <c r="Y171" s="27"/>
      <c r="Z171" s="49" t="str">
        <f aca="false">IF($L171="Invoiced",COUNTIF($L$6:$L171,"Invoiced"),"")</f>
        <v/>
      </c>
    </row>
    <row r="172" customFormat="false" ht="15" hidden="false" customHeight="false" outlineLevel="0" collapsed="false">
      <c r="A172" s="45" t="str">
        <f aca="false">IF($C172="","",POStart+COUNTA($C$6:$C172)-1)</f>
        <v/>
      </c>
      <c r="B172" s="45" t="str">
        <f aca="false">IF($A172="","",POPrefix&amp;$A172)</f>
        <v/>
      </c>
      <c r="C172" s="50"/>
      <c r="D172" s="27"/>
      <c r="E172" s="27"/>
      <c r="F172" s="27"/>
      <c r="G172" s="27"/>
      <c r="H172" s="27"/>
      <c r="I172" s="27"/>
      <c r="J172" s="27"/>
      <c r="K172" s="50"/>
      <c r="L172" s="27"/>
      <c r="M172" s="28"/>
      <c r="N172" s="28"/>
      <c r="O172" s="28"/>
      <c r="P172" s="26" t="str">
        <f aca="false">IF($C172="","",IF(OR($L172="Closed",$L172="Cancelled"),0,MAX(0,$M172-$O172)))</f>
        <v/>
      </c>
      <c r="Q172" s="45" t="str">
        <f aca="true">IF(OR($C172="",$L172="Closed",$L172="Cancelled",$L172="Invoiced"),"",MAX(0,TODAY()-$C172))</f>
        <v/>
      </c>
      <c r="R172" s="50"/>
      <c r="S172" s="47" t="str">
        <f aca="true">IF($C172="","",IF(AND($O172&gt;0,$O172&gt;$M172),"Invoice over PO - check",IF(AND($J172="Pending approval",TODAY()-$C172&gt;AlertDays),"Approval waiting",IF(AND($R172&lt;&gt;"",$R172&lt;TODAY(),OR($L172="Open",$L172="Partially received")),"Delivery overdue",""))))</f>
        <v/>
      </c>
      <c r="T172" s="27"/>
      <c r="U172" s="50"/>
      <c r="V172" s="27"/>
      <c r="W172" s="27"/>
      <c r="X172" s="48" t="str">
        <f aca="false">IF(OR($U172="",$C172=""),"",$U172+IF($V172="",TermsDays,$V172))</f>
        <v/>
      </c>
      <c r="Y172" s="27"/>
      <c r="Z172" s="49" t="str">
        <f aca="false">IF($L172="Invoiced",COUNTIF($L$6:$L172,"Invoiced"),"")</f>
        <v/>
      </c>
    </row>
    <row r="173" customFormat="false" ht="15" hidden="false" customHeight="false" outlineLevel="0" collapsed="false">
      <c r="A173" s="45" t="str">
        <f aca="false">IF($C173="","",POStart+COUNTA($C$6:$C173)-1)</f>
        <v/>
      </c>
      <c r="B173" s="45" t="str">
        <f aca="false">IF($A173="","",POPrefix&amp;$A173)</f>
        <v/>
      </c>
      <c r="C173" s="50"/>
      <c r="D173" s="27"/>
      <c r="E173" s="27"/>
      <c r="F173" s="27"/>
      <c r="G173" s="27"/>
      <c r="H173" s="27"/>
      <c r="I173" s="27"/>
      <c r="J173" s="27"/>
      <c r="K173" s="50"/>
      <c r="L173" s="27"/>
      <c r="M173" s="28"/>
      <c r="N173" s="28"/>
      <c r="O173" s="28"/>
      <c r="P173" s="26" t="str">
        <f aca="false">IF($C173="","",IF(OR($L173="Closed",$L173="Cancelled"),0,MAX(0,$M173-$O173)))</f>
        <v/>
      </c>
      <c r="Q173" s="45" t="str">
        <f aca="true">IF(OR($C173="",$L173="Closed",$L173="Cancelled",$L173="Invoiced"),"",MAX(0,TODAY()-$C173))</f>
        <v/>
      </c>
      <c r="R173" s="50"/>
      <c r="S173" s="47" t="str">
        <f aca="true">IF($C173="","",IF(AND($O173&gt;0,$O173&gt;$M173),"Invoice over PO - check",IF(AND($J173="Pending approval",TODAY()-$C173&gt;AlertDays),"Approval waiting",IF(AND($R173&lt;&gt;"",$R173&lt;TODAY(),OR($L173="Open",$L173="Partially received")),"Delivery overdue",""))))</f>
        <v/>
      </c>
      <c r="T173" s="27"/>
      <c r="U173" s="50"/>
      <c r="V173" s="27"/>
      <c r="W173" s="27"/>
      <c r="X173" s="48" t="str">
        <f aca="false">IF(OR($U173="",$C173=""),"",$U173+IF($V173="",TermsDays,$V173))</f>
        <v/>
      </c>
      <c r="Y173" s="27"/>
      <c r="Z173" s="49" t="str">
        <f aca="false">IF($L173="Invoiced",COUNTIF($L$6:$L173,"Invoiced"),"")</f>
        <v/>
      </c>
    </row>
    <row r="174" customFormat="false" ht="15" hidden="false" customHeight="false" outlineLevel="0" collapsed="false">
      <c r="A174" s="45" t="str">
        <f aca="false">IF($C174="","",POStart+COUNTA($C$6:$C174)-1)</f>
        <v/>
      </c>
      <c r="B174" s="45" t="str">
        <f aca="false">IF($A174="","",POPrefix&amp;$A174)</f>
        <v/>
      </c>
      <c r="C174" s="50"/>
      <c r="D174" s="27"/>
      <c r="E174" s="27"/>
      <c r="F174" s="27"/>
      <c r="G174" s="27"/>
      <c r="H174" s="27"/>
      <c r="I174" s="27"/>
      <c r="J174" s="27"/>
      <c r="K174" s="50"/>
      <c r="L174" s="27"/>
      <c r="M174" s="28"/>
      <c r="N174" s="28"/>
      <c r="O174" s="28"/>
      <c r="P174" s="26" t="str">
        <f aca="false">IF($C174="","",IF(OR($L174="Closed",$L174="Cancelled"),0,MAX(0,$M174-$O174)))</f>
        <v/>
      </c>
      <c r="Q174" s="45" t="str">
        <f aca="true">IF(OR($C174="",$L174="Closed",$L174="Cancelled",$L174="Invoiced"),"",MAX(0,TODAY()-$C174))</f>
        <v/>
      </c>
      <c r="R174" s="50"/>
      <c r="S174" s="47" t="str">
        <f aca="true">IF($C174="","",IF(AND($O174&gt;0,$O174&gt;$M174),"Invoice over PO - check",IF(AND($J174="Pending approval",TODAY()-$C174&gt;AlertDays),"Approval waiting",IF(AND($R174&lt;&gt;"",$R174&lt;TODAY(),OR($L174="Open",$L174="Partially received")),"Delivery overdue",""))))</f>
        <v/>
      </c>
      <c r="T174" s="27"/>
      <c r="U174" s="50"/>
      <c r="V174" s="27"/>
      <c r="W174" s="27"/>
      <c r="X174" s="48" t="str">
        <f aca="false">IF(OR($U174="",$C174=""),"",$U174+IF($V174="",TermsDays,$V174))</f>
        <v/>
      </c>
      <c r="Y174" s="27"/>
      <c r="Z174" s="49" t="str">
        <f aca="false">IF($L174="Invoiced",COUNTIF($L$6:$L174,"Invoiced"),"")</f>
        <v/>
      </c>
    </row>
    <row r="175" customFormat="false" ht="15" hidden="false" customHeight="false" outlineLevel="0" collapsed="false">
      <c r="A175" s="45" t="str">
        <f aca="false">IF($C175="","",POStart+COUNTA($C$6:$C175)-1)</f>
        <v/>
      </c>
      <c r="B175" s="45" t="str">
        <f aca="false">IF($A175="","",POPrefix&amp;$A175)</f>
        <v/>
      </c>
      <c r="C175" s="50"/>
      <c r="D175" s="27"/>
      <c r="E175" s="27"/>
      <c r="F175" s="27"/>
      <c r="G175" s="27"/>
      <c r="H175" s="27"/>
      <c r="I175" s="27"/>
      <c r="J175" s="27"/>
      <c r="K175" s="50"/>
      <c r="L175" s="27"/>
      <c r="M175" s="28"/>
      <c r="N175" s="28"/>
      <c r="O175" s="28"/>
      <c r="P175" s="26" t="str">
        <f aca="false">IF($C175="","",IF(OR($L175="Closed",$L175="Cancelled"),0,MAX(0,$M175-$O175)))</f>
        <v/>
      </c>
      <c r="Q175" s="45" t="str">
        <f aca="true">IF(OR($C175="",$L175="Closed",$L175="Cancelled",$L175="Invoiced"),"",MAX(0,TODAY()-$C175))</f>
        <v/>
      </c>
      <c r="R175" s="50"/>
      <c r="S175" s="47" t="str">
        <f aca="true">IF($C175="","",IF(AND($O175&gt;0,$O175&gt;$M175),"Invoice over PO - check",IF(AND($J175="Pending approval",TODAY()-$C175&gt;AlertDays),"Approval waiting",IF(AND($R175&lt;&gt;"",$R175&lt;TODAY(),OR($L175="Open",$L175="Partially received")),"Delivery overdue",""))))</f>
        <v/>
      </c>
      <c r="T175" s="27"/>
      <c r="U175" s="50"/>
      <c r="V175" s="27"/>
      <c r="W175" s="27"/>
      <c r="X175" s="48" t="str">
        <f aca="false">IF(OR($U175="",$C175=""),"",$U175+IF($V175="",TermsDays,$V175))</f>
        <v/>
      </c>
      <c r="Y175" s="27"/>
      <c r="Z175" s="49" t="str">
        <f aca="false">IF($L175="Invoiced",COUNTIF($L$6:$L175,"Invoiced"),"")</f>
        <v/>
      </c>
    </row>
    <row r="176" customFormat="false" ht="15" hidden="false" customHeight="false" outlineLevel="0" collapsed="false">
      <c r="A176" s="45" t="str">
        <f aca="false">IF($C176="","",POStart+COUNTA($C$6:$C176)-1)</f>
        <v/>
      </c>
      <c r="B176" s="45" t="str">
        <f aca="false">IF($A176="","",POPrefix&amp;$A176)</f>
        <v/>
      </c>
      <c r="C176" s="50"/>
      <c r="D176" s="27"/>
      <c r="E176" s="27"/>
      <c r="F176" s="27"/>
      <c r="G176" s="27"/>
      <c r="H176" s="27"/>
      <c r="I176" s="27"/>
      <c r="J176" s="27"/>
      <c r="K176" s="50"/>
      <c r="L176" s="27"/>
      <c r="M176" s="28"/>
      <c r="N176" s="28"/>
      <c r="O176" s="28"/>
      <c r="P176" s="26" t="str">
        <f aca="false">IF($C176="","",IF(OR($L176="Closed",$L176="Cancelled"),0,MAX(0,$M176-$O176)))</f>
        <v/>
      </c>
      <c r="Q176" s="45" t="str">
        <f aca="true">IF(OR($C176="",$L176="Closed",$L176="Cancelled",$L176="Invoiced"),"",MAX(0,TODAY()-$C176))</f>
        <v/>
      </c>
      <c r="R176" s="50"/>
      <c r="S176" s="47" t="str">
        <f aca="true">IF($C176="","",IF(AND($O176&gt;0,$O176&gt;$M176),"Invoice over PO - check",IF(AND($J176="Pending approval",TODAY()-$C176&gt;AlertDays),"Approval waiting",IF(AND($R176&lt;&gt;"",$R176&lt;TODAY(),OR($L176="Open",$L176="Partially received")),"Delivery overdue",""))))</f>
        <v/>
      </c>
      <c r="T176" s="27"/>
      <c r="U176" s="50"/>
      <c r="V176" s="27"/>
      <c r="W176" s="27"/>
      <c r="X176" s="48" t="str">
        <f aca="false">IF(OR($U176="",$C176=""),"",$U176+IF($V176="",TermsDays,$V176))</f>
        <v/>
      </c>
      <c r="Y176" s="27"/>
      <c r="Z176" s="49" t="str">
        <f aca="false">IF($L176="Invoiced",COUNTIF($L$6:$L176,"Invoiced"),"")</f>
        <v/>
      </c>
    </row>
    <row r="177" customFormat="false" ht="15" hidden="false" customHeight="false" outlineLevel="0" collapsed="false">
      <c r="A177" s="45" t="str">
        <f aca="false">IF($C177="","",POStart+COUNTA($C$6:$C177)-1)</f>
        <v/>
      </c>
      <c r="B177" s="45" t="str">
        <f aca="false">IF($A177="","",POPrefix&amp;$A177)</f>
        <v/>
      </c>
      <c r="C177" s="50"/>
      <c r="D177" s="27"/>
      <c r="E177" s="27"/>
      <c r="F177" s="27"/>
      <c r="G177" s="27"/>
      <c r="H177" s="27"/>
      <c r="I177" s="27"/>
      <c r="J177" s="27"/>
      <c r="K177" s="50"/>
      <c r="L177" s="27"/>
      <c r="M177" s="28"/>
      <c r="N177" s="28"/>
      <c r="O177" s="28"/>
      <c r="P177" s="26" t="str">
        <f aca="false">IF($C177="","",IF(OR($L177="Closed",$L177="Cancelled"),0,MAX(0,$M177-$O177)))</f>
        <v/>
      </c>
      <c r="Q177" s="45" t="str">
        <f aca="true">IF(OR($C177="",$L177="Closed",$L177="Cancelled",$L177="Invoiced"),"",MAX(0,TODAY()-$C177))</f>
        <v/>
      </c>
      <c r="R177" s="50"/>
      <c r="S177" s="47" t="str">
        <f aca="true">IF($C177="","",IF(AND($O177&gt;0,$O177&gt;$M177),"Invoice over PO - check",IF(AND($J177="Pending approval",TODAY()-$C177&gt;AlertDays),"Approval waiting",IF(AND($R177&lt;&gt;"",$R177&lt;TODAY(),OR($L177="Open",$L177="Partially received")),"Delivery overdue",""))))</f>
        <v/>
      </c>
      <c r="T177" s="27"/>
      <c r="U177" s="50"/>
      <c r="V177" s="27"/>
      <c r="W177" s="27"/>
      <c r="X177" s="48" t="str">
        <f aca="false">IF(OR($U177="",$C177=""),"",$U177+IF($V177="",TermsDays,$V177))</f>
        <v/>
      </c>
      <c r="Y177" s="27"/>
      <c r="Z177" s="49" t="str">
        <f aca="false">IF($L177="Invoiced",COUNTIF($L$6:$L177,"Invoiced"),"")</f>
        <v/>
      </c>
    </row>
    <row r="178" customFormat="false" ht="15" hidden="false" customHeight="false" outlineLevel="0" collapsed="false">
      <c r="A178" s="45" t="str">
        <f aca="false">IF($C178="","",POStart+COUNTA($C$6:$C178)-1)</f>
        <v/>
      </c>
      <c r="B178" s="45" t="str">
        <f aca="false">IF($A178="","",POPrefix&amp;$A178)</f>
        <v/>
      </c>
      <c r="C178" s="50"/>
      <c r="D178" s="27"/>
      <c r="E178" s="27"/>
      <c r="F178" s="27"/>
      <c r="G178" s="27"/>
      <c r="H178" s="27"/>
      <c r="I178" s="27"/>
      <c r="J178" s="27"/>
      <c r="K178" s="50"/>
      <c r="L178" s="27"/>
      <c r="M178" s="28"/>
      <c r="N178" s="28"/>
      <c r="O178" s="28"/>
      <c r="P178" s="26" t="str">
        <f aca="false">IF($C178="","",IF(OR($L178="Closed",$L178="Cancelled"),0,MAX(0,$M178-$O178)))</f>
        <v/>
      </c>
      <c r="Q178" s="45" t="str">
        <f aca="true">IF(OR($C178="",$L178="Closed",$L178="Cancelled",$L178="Invoiced"),"",MAX(0,TODAY()-$C178))</f>
        <v/>
      </c>
      <c r="R178" s="50"/>
      <c r="S178" s="47" t="str">
        <f aca="true">IF($C178="","",IF(AND($O178&gt;0,$O178&gt;$M178),"Invoice over PO - check",IF(AND($J178="Pending approval",TODAY()-$C178&gt;AlertDays),"Approval waiting",IF(AND($R178&lt;&gt;"",$R178&lt;TODAY(),OR($L178="Open",$L178="Partially received")),"Delivery overdue",""))))</f>
        <v/>
      </c>
      <c r="T178" s="27"/>
      <c r="U178" s="50"/>
      <c r="V178" s="27"/>
      <c r="W178" s="27"/>
      <c r="X178" s="48" t="str">
        <f aca="false">IF(OR($U178="",$C178=""),"",$U178+IF($V178="",TermsDays,$V178))</f>
        <v/>
      </c>
      <c r="Y178" s="27"/>
      <c r="Z178" s="49" t="str">
        <f aca="false">IF($L178="Invoiced",COUNTIF($L$6:$L178,"Invoiced"),"")</f>
        <v/>
      </c>
    </row>
    <row r="179" customFormat="false" ht="15" hidden="false" customHeight="false" outlineLevel="0" collapsed="false">
      <c r="A179" s="45" t="str">
        <f aca="false">IF($C179="","",POStart+COUNTA($C$6:$C179)-1)</f>
        <v/>
      </c>
      <c r="B179" s="45" t="str">
        <f aca="false">IF($A179="","",POPrefix&amp;$A179)</f>
        <v/>
      </c>
      <c r="C179" s="50"/>
      <c r="D179" s="27"/>
      <c r="E179" s="27"/>
      <c r="F179" s="27"/>
      <c r="G179" s="27"/>
      <c r="H179" s="27"/>
      <c r="I179" s="27"/>
      <c r="J179" s="27"/>
      <c r="K179" s="50"/>
      <c r="L179" s="27"/>
      <c r="M179" s="28"/>
      <c r="N179" s="28"/>
      <c r="O179" s="28"/>
      <c r="P179" s="26" t="str">
        <f aca="false">IF($C179="","",IF(OR($L179="Closed",$L179="Cancelled"),0,MAX(0,$M179-$O179)))</f>
        <v/>
      </c>
      <c r="Q179" s="45" t="str">
        <f aca="true">IF(OR($C179="",$L179="Closed",$L179="Cancelled",$L179="Invoiced"),"",MAX(0,TODAY()-$C179))</f>
        <v/>
      </c>
      <c r="R179" s="50"/>
      <c r="S179" s="47" t="str">
        <f aca="true">IF($C179="","",IF(AND($O179&gt;0,$O179&gt;$M179),"Invoice over PO - check",IF(AND($J179="Pending approval",TODAY()-$C179&gt;AlertDays),"Approval waiting",IF(AND($R179&lt;&gt;"",$R179&lt;TODAY(),OR($L179="Open",$L179="Partially received")),"Delivery overdue",""))))</f>
        <v/>
      </c>
      <c r="T179" s="27"/>
      <c r="U179" s="50"/>
      <c r="V179" s="27"/>
      <c r="W179" s="27"/>
      <c r="X179" s="48" t="str">
        <f aca="false">IF(OR($U179="",$C179=""),"",$U179+IF($V179="",TermsDays,$V179))</f>
        <v/>
      </c>
      <c r="Y179" s="27"/>
      <c r="Z179" s="49" t="str">
        <f aca="false">IF($L179="Invoiced",COUNTIF($L$6:$L179,"Invoiced"),"")</f>
        <v/>
      </c>
    </row>
    <row r="180" customFormat="false" ht="15" hidden="false" customHeight="false" outlineLevel="0" collapsed="false">
      <c r="A180" s="45" t="str">
        <f aca="false">IF($C180="","",POStart+COUNTA($C$6:$C180)-1)</f>
        <v/>
      </c>
      <c r="B180" s="45" t="str">
        <f aca="false">IF($A180="","",POPrefix&amp;$A180)</f>
        <v/>
      </c>
      <c r="C180" s="50"/>
      <c r="D180" s="27"/>
      <c r="E180" s="27"/>
      <c r="F180" s="27"/>
      <c r="G180" s="27"/>
      <c r="H180" s="27"/>
      <c r="I180" s="27"/>
      <c r="J180" s="27"/>
      <c r="K180" s="50"/>
      <c r="L180" s="27"/>
      <c r="M180" s="28"/>
      <c r="N180" s="28"/>
      <c r="O180" s="28"/>
      <c r="P180" s="26" t="str">
        <f aca="false">IF($C180="","",IF(OR($L180="Closed",$L180="Cancelled"),0,MAX(0,$M180-$O180)))</f>
        <v/>
      </c>
      <c r="Q180" s="45" t="str">
        <f aca="true">IF(OR($C180="",$L180="Closed",$L180="Cancelled",$L180="Invoiced"),"",MAX(0,TODAY()-$C180))</f>
        <v/>
      </c>
      <c r="R180" s="50"/>
      <c r="S180" s="47" t="str">
        <f aca="true">IF($C180="","",IF(AND($O180&gt;0,$O180&gt;$M180),"Invoice over PO - check",IF(AND($J180="Pending approval",TODAY()-$C180&gt;AlertDays),"Approval waiting",IF(AND($R180&lt;&gt;"",$R180&lt;TODAY(),OR($L180="Open",$L180="Partially received")),"Delivery overdue",""))))</f>
        <v/>
      </c>
      <c r="T180" s="27"/>
      <c r="U180" s="50"/>
      <c r="V180" s="27"/>
      <c r="W180" s="27"/>
      <c r="X180" s="48" t="str">
        <f aca="false">IF(OR($U180="",$C180=""),"",$U180+IF($V180="",TermsDays,$V180))</f>
        <v/>
      </c>
      <c r="Y180" s="27"/>
      <c r="Z180" s="49" t="str">
        <f aca="false">IF($L180="Invoiced",COUNTIF($L$6:$L180,"Invoiced"),"")</f>
        <v/>
      </c>
    </row>
    <row r="181" customFormat="false" ht="15" hidden="false" customHeight="false" outlineLevel="0" collapsed="false">
      <c r="A181" s="45" t="str">
        <f aca="false">IF($C181="","",POStart+COUNTA($C$6:$C181)-1)</f>
        <v/>
      </c>
      <c r="B181" s="45" t="str">
        <f aca="false">IF($A181="","",POPrefix&amp;$A181)</f>
        <v/>
      </c>
      <c r="C181" s="50"/>
      <c r="D181" s="27"/>
      <c r="E181" s="27"/>
      <c r="F181" s="27"/>
      <c r="G181" s="27"/>
      <c r="H181" s="27"/>
      <c r="I181" s="27"/>
      <c r="J181" s="27"/>
      <c r="K181" s="50"/>
      <c r="L181" s="27"/>
      <c r="M181" s="28"/>
      <c r="N181" s="28"/>
      <c r="O181" s="28"/>
      <c r="P181" s="26" t="str">
        <f aca="false">IF($C181="","",IF(OR($L181="Closed",$L181="Cancelled"),0,MAX(0,$M181-$O181)))</f>
        <v/>
      </c>
      <c r="Q181" s="45" t="str">
        <f aca="true">IF(OR($C181="",$L181="Closed",$L181="Cancelled",$L181="Invoiced"),"",MAX(0,TODAY()-$C181))</f>
        <v/>
      </c>
      <c r="R181" s="50"/>
      <c r="S181" s="47" t="str">
        <f aca="true">IF($C181="","",IF(AND($O181&gt;0,$O181&gt;$M181),"Invoice over PO - check",IF(AND($J181="Pending approval",TODAY()-$C181&gt;AlertDays),"Approval waiting",IF(AND($R181&lt;&gt;"",$R181&lt;TODAY(),OR($L181="Open",$L181="Partially received")),"Delivery overdue",""))))</f>
        <v/>
      </c>
      <c r="T181" s="27"/>
      <c r="U181" s="50"/>
      <c r="V181" s="27"/>
      <c r="W181" s="27"/>
      <c r="X181" s="48" t="str">
        <f aca="false">IF(OR($U181="",$C181=""),"",$U181+IF($V181="",TermsDays,$V181))</f>
        <v/>
      </c>
      <c r="Y181" s="27"/>
      <c r="Z181" s="49" t="str">
        <f aca="false">IF($L181="Invoiced",COUNTIF($L$6:$L181,"Invoiced"),"")</f>
        <v/>
      </c>
    </row>
    <row r="182" customFormat="false" ht="15" hidden="false" customHeight="false" outlineLevel="0" collapsed="false">
      <c r="A182" s="45" t="str">
        <f aca="false">IF($C182="","",POStart+COUNTA($C$6:$C182)-1)</f>
        <v/>
      </c>
      <c r="B182" s="45" t="str">
        <f aca="false">IF($A182="","",POPrefix&amp;$A182)</f>
        <v/>
      </c>
      <c r="C182" s="50"/>
      <c r="D182" s="27"/>
      <c r="E182" s="27"/>
      <c r="F182" s="27"/>
      <c r="G182" s="27"/>
      <c r="H182" s="27"/>
      <c r="I182" s="27"/>
      <c r="J182" s="27"/>
      <c r="K182" s="50"/>
      <c r="L182" s="27"/>
      <c r="M182" s="28"/>
      <c r="N182" s="28"/>
      <c r="O182" s="28"/>
      <c r="P182" s="26" t="str">
        <f aca="false">IF($C182="","",IF(OR($L182="Closed",$L182="Cancelled"),0,MAX(0,$M182-$O182)))</f>
        <v/>
      </c>
      <c r="Q182" s="45" t="str">
        <f aca="true">IF(OR($C182="",$L182="Closed",$L182="Cancelled",$L182="Invoiced"),"",MAX(0,TODAY()-$C182))</f>
        <v/>
      </c>
      <c r="R182" s="50"/>
      <c r="S182" s="47" t="str">
        <f aca="true">IF($C182="","",IF(AND($O182&gt;0,$O182&gt;$M182),"Invoice over PO - check",IF(AND($J182="Pending approval",TODAY()-$C182&gt;AlertDays),"Approval waiting",IF(AND($R182&lt;&gt;"",$R182&lt;TODAY(),OR($L182="Open",$L182="Partially received")),"Delivery overdue",""))))</f>
        <v/>
      </c>
      <c r="T182" s="27"/>
      <c r="U182" s="50"/>
      <c r="V182" s="27"/>
      <c r="W182" s="27"/>
      <c r="X182" s="48" t="str">
        <f aca="false">IF(OR($U182="",$C182=""),"",$U182+IF($V182="",TermsDays,$V182))</f>
        <v/>
      </c>
      <c r="Y182" s="27"/>
      <c r="Z182" s="49" t="str">
        <f aca="false">IF($L182="Invoiced",COUNTIF($L$6:$L182,"Invoiced"),"")</f>
        <v/>
      </c>
    </row>
    <row r="183" customFormat="false" ht="15" hidden="false" customHeight="false" outlineLevel="0" collapsed="false">
      <c r="A183" s="45" t="str">
        <f aca="false">IF($C183="","",POStart+COUNTA($C$6:$C183)-1)</f>
        <v/>
      </c>
      <c r="B183" s="45" t="str">
        <f aca="false">IF($A183="","",POPrefix&amp;$A183)</f>
        <v/>
      </c>
      <c r="C183" s="50"/>
      <c r="D183" s="27"/>
      <c r="E183" s="27"/>
      <c r="F183" s="27"/>
      <c r="G183" s="27"/>
      <c r="H183" s="27"/>
      <c r="I183" s="27"/>
      <c r="J183" s="27"/>
      <c r="K183" s="50"/>
      <c r="L183" s="27"/>
      <c r="M183" s="28"/>
      <c r="N183" s="28"/>
      <c r="O183" s="28"/>
      <c r="P183" s="26" t="str">
        <f aca="false">IF($C183="","",IF(OR($L183="Closed",$L183="Cancelled"),0,MAX(0,$M183-$O183)))</f>
        <v/>
      </c>
      <c r="Q183" s="45" t="str">
        <f aca="true">IF(OR($C183="",$L183="Closed",$L183="Cancelled",$L183="Invoiced"),"",MAX(0,TODAY()-$C183))</f>
        <v/>
      </c>
      <c r="R183" s="50"/>
      <c r="S183" s="47" t="str">
        <f aca="true">IF($C183="","",IF(AND($O183&gt;0,$O183&gt;$M183),"Invoice over PO - check",IF(AND($J183="Pending approval",TODAY()-$C183&gt;AlertDays),"Approval waiting",IF(AND($R183&lt;&gt;"",$R183&lt;TODAY(),OR($L183="Open",$L183="Partially received")),"Delivery overdue",""))))</f>
        <v/>
      </c>
      <c r="T183" s="27"/>
      <c r="U183" s="50"/>
      <c r="V183" s="27"/>
      <c r="W183" s="27"/>
      <c r="X183" s="48" t="str">
        <f aca="false">IF(OR($U183="",$C183=""),"",$U183+IF($V183="",TermsDays,$V183))</f>
        <v/>
      </c>
      <c r="Y183" s="27"/>
      <c r="Z183" s="49" t="str">
        <f aca="false">IF($L183="Invoiced",COUNTIF($L$6:$L183,"Invoiced"),"")</f>
        <v/>
      </c>
    </row>
    <row r="184" customFormat="false" ht="15" hidden="false" customHeight="false" outlineLevel="0" collapsed="false">
      <c r="A184" s="45" t="str">
        <f aca="false">IF($C184="","",POStart+COUNTA($C$6:$C184)-1)</f>
        <v/>
      </c>
      <c r="B184" s="45" t="str">
        <f aca="false">IF($A184="","",POPrefix&amp;$A184)</f>
        <v/>
      </c>
      <c r="C184" s="50"/>
      <c r="D184" s="27"/>
      <c r="E184" s="27"/>
      <c r="F184" s="27"/>
      <c r="G184" s="27"/>
      <c r="H184" s="27"/>
      <c r="I184" s="27"/>
      <c r="J184" s="27"/>
      <c r="K184" s="50"/>
      <c r="L184" s="27"/>
      <c r="M184" s="28"/>
      <c r="N184" s="28"/>
      <c r="O184" s="28"/>
      <c r="P184" s="26" t="str">
        <f aca="false">IF($C184="","",IF(OR($L184="Closed",$L184="Cancelled"),0,MAX(0,$M184-$O184)))</f>
        <v/>
      </c>
      <c r="Q184" s="45" t="str">
        <f aca="true">IF(OR($C184="",$L184="Closed",$L184="Cancelled",$L184="Invoiced"),"",MAX(0,TODAY()-$C184))</f>
        <v/>
      </c>
      <c r="R184" s="50"/>
      <c r="S184" s="47" t="str">
        <f aca="true">IF($C184="","",IF(AND($O184&gt;0,$O184&gt;$M184),"Invoice over PO - check",IF(AND($J184="Pending approval",TODAY()-$C184&gt;AlertDays),"Approval waiting",IF(AND($R184&lt;&gt;"",$R184&lt;TODAY(),OR($L184="Open",$L184="Partially received")),"Delivery overdue",""))))</f>
        <v/>
      </c>
      <c r="T184" s="27"/>
      <c r="U184" s="50"/>
      <c r="V184" s="27"/>
      <c r="W184" s="27"/>
      <c r="X184" s="48" t="str">
        <f aca="false">IF(OR($U184="",$C184=""),"",$U184+IF($V184="",TermsDays,$V184))</f>
        <v/>
      </c>
      <c r="Y184" s="27"/>
      <c r="Z184" s="49" t="str">
        <f aca="false">IF($L184="Invoiced",COUNTIF($L$6:$L184,"Invoiced"),"")</f>
        <v/>
      </c>
    </row>
    <row r="185" customFormat="false" ht="15" hidden="false" customHeight="false" outlineLevel="0" collapsed="false">
      <c r="A185" s="45" t="str">
        <f aca="false">IF($C185="","",POStart+COUNTA($C$6:$C185)-1)</f>
        <v/>
      </c>
      <c r="B185" s="45" t="str">
        <f aca="false">IF($A185="","",POPrefix&amp;$A185)</f>
        <v/>
      </c>
      <c r="C185" s="50"/>
      <c r="D185" s="27"/>
      <c r="E185" s="27"/>
      <c r="F185" s="27"/>
      <c r="G185" s="27"/>
      <c r="H185" s="27"/>
      <c r="I185" s="27"/>
      <c r="J185" s="27"/>
      <c r="K185" s="50"/>
      <c r="L185" s="27"/>
      <c r="M185" s="28"/>
      <c r="N185" s="28"/>
      <c r="O185" s="28"/>
      <c r="P185" s="26" t="str">
        <f aca="false">IF($C185="","",IF(OR($L185="Closed",$L185="Cancelled"),0,MAX(0,$M185-$O185)))</f>
        <v/>
      </c>
      <c r="Q185" s="45" t="str">
        <f aca="true">IF(OR($C185="",$L185="Closed",$L185="Cancelled",$L185="Invoiced"),"",MAX(0,TODAY()-$C185))</f>
        <v/>
      </c>
      <c r="R185" s="50"/>
      <c r="S185" s="47" t="str">
        <f aca="true">IF($C185="","",IF(AND($O185&gt;0,$O185&gt;$M185),"Invoice over PO - check",IF(AND($J185="Pending approval",TODAY()-$C185&gt;AlertDays),"Approval waiting",IF(AND($R185&lt;&gt;"",$R185&lt;TODAY(),OR($L185="Open",$L185="Partially received")),"Delivery overdue",""))))</f>
        <v/>
      </c>
      <c r="T185" s="27"/>
      <c r="U185" s="50"/>
      <c r="V185" s="27"/>
      <c r="W185" s="27"/>
      <c r="X185" s="48" t="str">
        <f aca="false">IF(OR($U185="",$C185=""),"",$U185+IF($V185="",TermsDays,$V185))</f>
        <v/>
      </c>
      <c r="Y185" s="27"/>
      <c r="Z185" s="49" t="str">
        <f aca="false">IF($L185="Invoiced",COUNTIF($L$6:$L185,"Invoiced"),"")</f>
        <v/>
      </c>
    </row>
    <row r="186" customFormat="false" ht="15" hidden="false" customHeight="false" outlineLevel="0" collapsed="false">
      <c r="A186" s="45" t="str">
        <f aca="false">IF($C186="","",POStart+COUNTA($C$6:$C186)-1)</f>
        <v/>
      </c>
      <c r="B186" s="45" t="str">
        <f aca="false">IF($A186="","",POPrefix&amp;$A186)</f>
        <v/>
      </c>
      <c r="C186" s="50"/>
      <c r="D186" s="27"/>
      <c r="E186" s="27"/>
      <c r="F186" s="27"/>
      <c r="G186" s="27"/>
      <c r="H186" s="27"/>
      <c r="I186" s="27"/>
      <c r="J186" s="27"/>
      <c r="K186" s="50"/>
      <c r="L186" s="27"/>
      <c r="M186" s="28"/>
      <c r="N186" s="28"/>
      <c r="O186" s="28"/>
      <c r="P186" s="26" t="str">
        <f aca="false">IF($C186="","",IF(OR($L186="Closed",$L186="Cancelled"),0,MAX(0,$M186-$O186)))</f>
        <v/>
      </c>
      <c r="Q186" s="45" t="str">
        <f aca="true">IF(OR($C186="",$L186="Closed",$L186="Cancelled",$L186="Invoiced"),"",MAX(0,TODAY()-$C186))</f>
        <v/>
      </c>
      <c r="R186" s="50"/>
      <c r="S186" s="47" t="str">
        <f aca="true">IF($C186="","",IF(AND($O186&gt;0,$O186&gt;$M186),"Invoice over PO - check",IF(AND($J186="Pending approval",TODAY()-$C186&gt;AlertDays),"Approval waiting",IF(AND($R186&lt;&gt;"",$R186&lt;TODAY(),OR($L186="Open",$L186="Partially received")),"Delivery overdue",""))))</f>
        <v/>
      </c>
      <c r="T186" s="27"/>
      <c r="U186" s="50"/>
      <c r="V186" s="27"/>
      <c r="W186" s="27"/>
      <c r="X186" s="48" t="str">
        <f aca="false">IF(OR($U186="",$C186=""),"",$U186+IF($V186="",TermsDays,$V186))</f>
        <v/>
      </c>
      <c r="Y186" s="27"/>
      <c r="Z186" s="49" t="str">
        <f aca="false">IF($L186="Invoiced",COUNTIF($L$6:$L186,"Invoiced"),"")</f>
        <v/>
      </c>
    </row>
    <row r="187" customFormat="false" ht="15" hidden="false" customHeight="false" outlineLevel="0" collapsed="false">
      <c r="A187" s="45" t="str">
        <f aca="false">IF($C187="","",POStart+COUNTA($C$6:$C187)-1)</f>
        <v/>
      </c>
      <c r="B187" s="45" t="str">
        <f aca="false">IF($A187="","",POPrefix&amp;$A187)</f>
        <v/>
      </c>
      <c r="C187" s="50"/>
      <c r="D187" s="27"/>
      <c r="E187" s="27"/>
      <c r="F187" s="27"/>
      <c r="G187" s="27"/>
      <c r="H187" s="27"/>
      <c r="I187" s="27"/>
      <c r="J187" s="27"/>
      <c r="K187" s="50"/>
      <c r="L187" s="27"/>
      <c r="M187" s="28"/>
      <c r="N187" s="28"/>
      <c r="O187" s="28"/>
      <c r="P187" s="26" t="str">
        <f aca="false">IF($C187="","",IF(OR($L187="Closed",$L187="Cancelled"),0,MAX(0,$M187-$O187)))</f>
        <v/>
      </c>
      <c r="Q187" s="45" t="str">
        <f aca="true">IF(OR($C187="",$L187="Closed",$L187="Cancelled",$L187="Invoiced"),"",MAX(0,TODAY()-$C187))</f>
        <v/>
      </c>
      <c r="R187" s="50"/>
      <c r="S187" s="47" t="str">
        <f aca="true">IF($C187="","",IF(AND($O187&gt;0,$O187&gt;$M187),"Invoice over PO - check",IF(AND($J187="Pending approval",TODAY()-$C187&gt;AlertDays),"Approval waiting",IF(AND($R187&lt;&gt;"",$R187&lt;TODAY(),OR($L187="Open",$L187="Partially received")),"Delivery overdue",""))))</f>
        <v/>
      </c>
      <c r="T187" s="27"/>
      <c r="U187" s="50"/>
      <c r="V187" s="27"/>
      <c r="W187" s="27"/>
      <c r="X187" s="48" t="str">
        <f aca="false">IF(OR($U187="",$C187=""),"",$U187+IF($V187="",TermsDays,$V187))</f>
        <v/>
      </c>
      <c r="Y187" s="27"/>
      <c r="Z187" s="49" t="str">
        <f aca="false">IF($L187="Invoiced",COUNTIF($L$6:$L187,"Invoiced"),"")</f>
        <v/>
      </c>
    </row>
    <row r="188" customFormat="false" ht="15" hidden="false" customHeight="false" outlineLevel="0" collapsed="false">
      <c r="A188" s="45" t="str">
        <f aca="false">IF($C188="","",POStart+COUNTA($C$6:$C188)-1)</f>
        <v/>
      </c>
      <c r="B188" s="45" t="str">
        <f aca="false">IF($A188="","",POPrefix&amp;$A188)</f>
        <v/>
      </c>
      <c r="C188" s="50"/>
      <c r="D188" s="27"/>
      <c r="E188" s="27"/>
      <c r="F188" s="27"/>
      <c r="G188" s="27"/>
      <c r="H188" s="27"/>
      <c r="I188" s="27"/>
      <c r="J188" s="27"/>
      <c r="K188" s="50"/>
      <c r="L188" s="27"/>
      <c r="M188" s="28"/>
      <c r="N188" s="28"/>
      <c r="O188" s="28"/>
      <c r="P188" s="26" t="str">
        <f aca="false">IF($C188="","",IF(OR($L188="Closed",$L188="Cancelled"),0,MAX(0,$M188-$O188)))</f>
        <v/>
      </c>
      <c r="Q188" s="45" t="str">
        <f aca="true">IF(OR($C188="",$L188="Closed",$L188="Cancelled",$L188="Invoiced"),"",MAX(0,TODAY()-$C188))</f>
        <v/>
      </c>
      <c r="R188" s="50"/>
      <c r="S188" s="47" t="str">
        <f aca="true">IF($C188="","",IF(AND($O188&gt;0,$O188&gt;$M188),"Invoice over PO - check",IF(AND($J188="Pending approval",TODAY()-$C188&gt;AlertDays),"Approval waiting",IF(AND($R188&lt;&gt;"",$R188&lt;TODAY(),OR($L188="Open",$L188="Partially received")),"Delivery overdue",""))))</f>
        <v/>
      </c>
      <c r="T188" s="27"/>
      <c r="U188" s="50"/>
      <c r="V188" s="27"/>
      <c r="W188" s="27"/>
      <c r="X188" s="48" t="str">
        <f aca="false">IF(OR($U188="",$C188=""),"",$U188+IF($V188="",TermsDays,$V188))</f>
        <v/>
      </c>
      <c r="Y188" s="27"/>
      <c r="Z188" s="49" t="str">
        <f aca="false">IF($L188="Invoiced",COUNTIF($L$6:$L188,"Invoiced"),"")</f>
        <v/>
      </c>
    </row>
    <row r="189" customFormat="false" ht="15" hidden="false" customHeight="false" outlineLevel="0" collapsed="false">
      <c r="A189" s="45" t="str">
        <f aca="false">IF($C189="","",POStart+COUNTA($C$6:$C189)-1)</f>
        <v/>
      </c>
      <c r="B189" s="45" t="str">
        <f aca="false">IF($A189="","",POPrefix&amp;$A189)</f>
        <v/>
      </c>
      <c r="C189" s="50"/>
      <c r="D189" s="27"/>
      <c r="E189" s="27"/>
      <c r="F189" s="27"/>
      <c r="G189" s="27"/>
      <c r="H189" s="27"/>
      <c r="I189" s="27"/>
      <c r="J189" s="27"/>
      <c r="K189" s="50"/>
      <c r="L189" s="27"/>
      <c r="M189" s="28"/>
      <c r="N189" s="28"/>
      <c r="O189" s="28"/>
      <c r="P189" s="26" t="str">
        <f aca="false">IF($C189="","",IF(OR($L189="Closed",$L189="Cancelled"),0,MAX(0,$M189-$O189)))</f>
        <v/>
      </c>
      <c r="Q189" s="45" t="str">
        <f aca="true">IF(OR($C189="",$L189="Closed",$L189="Cancelled",$L189="Invoiced"),"",MAX(0,TODAY()-$C189))</f>
        <v/>
      </c>
      <c r="R189" s="50"/>
      <c r="S189" s="47" t="str">
        <f aca="true">IF($C189="","",IF(AND($O189&gt;0,$O189&gt;$M189),"Invoice over PO - check",IF(AND($J189="Pending approval",TODAY()-$C189&gt;AlertDays),"Approval waiting",IF(AND($R189&lt;&gt;"",$R189&lt;TODAY(),OR($L189="Open",$L189="Partially received")),"Delivery overdue",""))))</f>
        <v/>
      </c>
      <c r="T189" s="27"/>
      <c r="U189" s="50"/>
      <c r="V189" s="27"/>
      <c r="W189" s="27"/>
      <c r="X189" s="48" t="str">
        <f aca="false">IF(OR($U189="",$C189=""),"",$U189+IF($V189="",TermsDays,$V189))</f>
        <v/>
      </c>
      <c r="Y189" s="27"/>
      <c r="Z189" s="49" t="str">
        <f aca="false">IF($L189="Invoiced",COUNTIF($L$6:$L189,"Invoiced"),"")</f>
        <v/>
      </c>
    </row>
    <row r="190" customFormat="false" ht="15" hidden="false" customHeight="false" outlineLevel="0" collapsed="false">
      <c r="A190" s="45" t="str">
        <f aca="false">IF($C190="","",POStart+COUNTA($C$6:$C190)-1)</f>
        <v/>
      </c>
      <c r="B190" s="45" t="str">
        <f aca="false">IF($A190="","",POPrefix&amp;$A190)</f>
        <v/>
      </c>
      <c r="C190" s="50"/>
      <c r="D190" s="27"/>
      <c r="E190" s="27"/>
      <c r="F190" s="27"/>
      <c r="G190" s="27"/>
      <c r="H190" s="27"/>
      <c r="I190" s="27"/>
      <c r="J190" s="27"/>
      <c r="K190" s="50"/>
      <c r="L190" s="27"/>
      <c r="M190" s="28"/>
      <c r="N190" s="28"/>
      <c r="O190" s="28"/>
      <c r="P190" s="26" t="str">
        <f aca="false">IF($C190="","",IF(OR($L190="Closed",$L190="Cancelled"),0,MAX(0,$M190-$O190)))</f>
        <v/>
      </c>
      <c r="Q190" s="45" t="str">
        <f aca="true">IF(OR($C190="",$L190="Closed",$L190="Cancelled",$L190="Invoiced"),"",MAX(0,TODAY()-$C190))</f>
        <v/>
      </c>
      <c r="R190" s="50"/>
      <c r="S190" s="47" t="str">
        <f aca="true">IF($C190="","",IF(AND($O190&gt;0,$O190&gt;$M190),"Invoice over PO - check",IF(AND($J190="Pending approval",TODAY()-$C190&gt;AlertDays),"Approval waiting",IF(AND($R190&lt;&gt;"",$R190&lt;TODAY(),OR($L190="Open",$L190="Partially received")),"Delivery overdue",""))))</f>
        <v/>
      </c>
      <c r="T190" s="27"/>
      <c r="U190" s="50"/>
      <c r="V190" s="27"/>
      <c r="W190" s="27"/>
      <c r="X190" s="48" t="str">
        <f aca="false">IF(OR($U190="",$C190=""),"",$U190+IF($V190="",TermsDays,$V190))</f>
        <v/>
      </c>
      <c r="Y190" s="27"/>
      <c r="Z190" s="49" t="str">
        <f aca="false">IF($L190="Invoiced",COUNTIF($L$6:$L190,"Invoiced"),"")</f>
        <v/>
      </c>
    </row>
    <row r="191" customFormat="false" ht="15" hidden="false" customHeight="false" outlineLevel="0" collapsed="false">
      <c r="A191" s="45" t="str">
        <f aca="false">IF($C191="","",POStart+COUNTA($C$6:$C191)-1)</f>
        <v/>
      </c>
      <c r="B191" s="45" t="str">
        <f aca="false">IF($A191="","",POPrefix&amp;$A191)</f>
        <v/>
      </c>
      <c r="C191" s="50"/>
      <c r="D191" s="27"/>
      <c r="E191" s="27"/>
      <c r="F191" s="27"/>
      <c r="G191" s="27"/>
      <c r="H191" s="27"/>
      <c r="I191" s="27"/>
      <c r="J191" s="27"/>
      <c r="K191" s="50"/>
      <c r="L191" s="27"/>
      <c r="M191" s="28"/>
      <c r="N191" s="28"/>
      <c r="O191" s="28"/>
      <c r="P191" s="26" t="str">
        <f aca="false">IF($C191="","",IF(OR($L191="Closed",$L191="Cancelled"),0,MAX(0,$M191-$O191)))</f>
        <v/>
      </c>
      <c r="Q191" s="45" t="str">
        <f aca="true">IF(OR($C191="",$L191="Closed",$L191="Cancelled",$L191="Invoiced"),"",MAX(0,TODAY()-$C191))</f>
        <v/>
      </c>
      <c r="R191" s="50"/>
      <c r="S191" s="47" t="str">
        <f aca="true">IF($C191="","",IF(AND($O191&gt;0,$O191&gt;$M191),"Invoice over PO - check",IF(AND($J191="Pending approval",TODAY()-$C191&gt;AlertDays),"Approval waiting",IF(AND($R191&lt;&gt;"",$R191&lt;TODAY(),OR($L191="Open",$L191="Partially received")),"Delivery overdue",""))))</f>
        <v/>
      </c>
      <c r="T191" s="27"/>
      <c r="U191" s="50"/>
      <c r="V191" s="27"/>
      <c r="W191" s="27"/>
      <c r="X191" s="48" t="str">
        <f aca="false">IF(OR($U191="",$C191=""),"",$U191+IF($V191="",TermsDays,$V191))</f>
        <v/>
      </c>
      <c r="Y191" s="27"/>
      <c r="Z191" s="49" t="str">
        <f aca="false">IF($L191="Invoiced",COUNTIF($L$6:$L191,"Invoiced"),"")</f>
        <v/>
      </c>
    </row>
    <row r="192" customFormat="false" ht="15" hidden="false" customHeight="false" outlineLevel="0" collapsed="false">
      <c r="A192" s="45" t="str">
        <f aca="false">IF($C192="","",POStart+COUNTA($C$6:$C192)-1)</f>
        <v/>
      </c>
      <c r="B192" s="45" t="str">
        <f aca="false">IF($A192="","",POPrefix&amp;$A192)</f>
        <v/>
      </c>
      <c r="C192" s="50"/>
      <c r="D192" s="27"/>
      <c r="E192" s="27"/>
      <c r="F192" s="27"/>
      <c r="G192" s="27"/>
      <c r="H192" s="27"/>
      <c r="I192" s="27"/>
      <c r="J192" s="27"/>
      <c r="K192" s="50"/>
      <c r="L192" s="27"/>
      <c r="M192" s="28"/>
      <c r="N192" s="28"/>
      <c r="O192" s="28"/>
      <c r="P192" s="26" t="str">
        <f aca="false">IF($C192="","",IF(OR($L192="Closed",$L192="Cancelled"),0,MAX(0,$M192-$O192)))</f>
        <v/>
      </c>
      <c r="Q192" s="45" t="str">
        <f aca="true">IF(OR($C192="",$L192="Closed",$L192="Cancelled",$L192="Invoiced"),"",MAX(0,TODAY()-$C192))</f>
        <v/>
      </c>
      <c r="R192" s="50"/>
      <c r="S192" s="47" t="str">
        <f aca="true">IF($C192="","",IF(AND($O192&gt;0,$O192&gt;$M192),"Invoice over PO - check",IF(AND($J192="Pending approval",TODAY()-$C192&gt;AlertDays),"Approval waiting",IF(AND($R192&lt;&gt;"",$R192&lt;TODAY(),OR($L192="Open",$L192="Partially received")),"Delivery overdue",""))))</f>
        <v/>
      </c>
      <c r="T192" s="27"/>
      <c r="U192" s="50"/>
      <c r="V192" s="27"/>
      <c r="W192" s="27"/>
      <c r="X192" s="48" t="str">
        <f aca="false">IF(OR($U192="",$C192=""),"",$U192+IF($V192="",TermsDays,$V192))</f>
        <v/>
      </c>
      <c r="Y192" s="27"/>
      <c r="Z192" s="49" t="str">
        <f aca="false">IF($L192="Invoiced",COUNTIF($L$6:$L192,"Invoiced"),"")</f>
        <v/>
      </c>
    </row>
    <row r="193" customFormat="false" ht="15" hidden="false" customHeight="false" outlineLevel="0" collapsed="false">
      <c r="A193" s="45" t="str">
        <f aca="false">IF($C193="","",POStart+COUNTA($C$6:$C193)-1)</f>
        <v/>
      </c>
      <c r="B193" s="45" t="str">
        <f aca="false">IF($A193="","",POPrefix&amp;$A193)</f>
        <v/>
      </c>
      <c r="C193" s="50"/>
      <c r="D193" s="27"/>
      <c r="E193" s="27"/>
      <c r="F193" s="27"/>
      <c r="G193" s="27"/>
      <c r="H193" s="27"/>
      <c r="I193" s="27"/>
      <c r="J193" s="27"/>
      <c r="K193" s="50"/>
      <c r="L193" s="27"/>
      <c r="M193" s="28"/>
      <c r="N193" s="28"/>
      <c r="O193" s="28"/>
      <c r="P193" s="26" t="str">
        <f aca="false">IF($C193="","",IF(OR($L193="Closed",$L193="Cancelled"),0,MAX(0,$M193-$O193)))</f>
        <v/>
      </c>
      <c r="Q193" s="45" t="str">
        <f aca="true">IF(OR($C193="",$L193="Closed",$L193="Cancelled",$L193="Invoiced"),"",MAX(0,TODAY()-$C193))</f>
        <v/>
      </c>
      <c r="R193" s="50"/>
      <c r="S193" s="47" t="str">
        <f aca="true">IF($C193="","",IF(AND($O193&gt;0,$O193&gt;$M193),"Invoice over PO - check",IF(AND($J193="Pending approval",TODAY()-$C193&gt;AlertDays),"Approval waiting",IF(AND($R193&lt;&gt;"",$R193&lt;TODAY(),OR($L193="Open",$L193="Partially received")),"Delivery overdue",""))))</f>
        <v/>
      </c>
      <c r="T193" s="27"/>
      <c r="U193" s="50"/>
      <c r="V193" s="27"/>
      <c r="W193" s="27"/>
      <c r="X193" s="48" t="str">
        <f aca="false">IF(OR($U193="",$C193=""),"",$U193+IF($V193="",TermsDays,$V193))</f>
        <v/>
      </c>
      <c r="Y193" s="27"/>
      <c r="Z193" s="49" t="str">
        <f aca="false">IF($L193="Invoiced",COUNTIF($L$6:$L193,"Invoiced"),"")</f>
        <v/>
      </c>
    </row>
    <row r="194" customFormat="false" ht="15" hidden="false" customHeight="false" outlineLevel="0" collapsed="false">
      <c r="A194" s="45" t="str">
        <f aca="false">IF($C194="","",POStart+COUNTA($C$6:$C194)-1)</f>
        <v/>
      </c>
      <c r="B194" s="45" t="str">
        <f aca="false">IF($A194="","",POPrefix&amp;$A194)</f>
        <v/>
      </c>
      <c r="C194" s="50"/>
      <c r="D194" s="27"/>
      <c r="E194" s="27"/>
      <c r="F194" s="27"/>
      <c r="G194" s="27"/>
      <c r="H194" s="27"/>
      <c r="I194" s="27"/>
      <c r="J194" s="27"/>
      <c r="K194" s="50"/>
      <c r="L194" s="27"/>
      <c r="M194" s="28"/>
      <c r="N194" s="28"/>
      <c r="O194" s="28"/>
      <c r="P194" s="26" t="str">
        <f aca="false">IF($C194="","",IF(OR($L194="Closed",$L194="Cancelled"),0,MAX(0,$M194-$O194)))</f>
        <v/>
      </c>
      <c r="Q194" s="45" t="str">
        <f aca="true">IF(OR($C194="",$L194="Closed",$L194="Cancelled",$L194="Invoiced"),"",MAX(0,TODAY()-$C194))</f>
        <v/>
      </c>
      <c r="R194" s="50"/>
      <c r="S194" s="47" t="str">
        <f aca="true">IF($C194="","",IF(AND($O194&gt;0,$O194&gt;$M194),"Invoice over PO - check",IF(AND($J194="Pending approval",TODAY()-$C194&gt;AlertDays),"Approval waiting",IF(AND($R194&lt;&gt;"",$R194&lt;TODAY(),OR($L194="Open",$L194="Partially received")),"Delivery overdue",""))))</f>
        <v/>
      </c>
      <c r="T194" s="27"/>
      <c r="U194" s="50"/>
      <c r="V194" s="27"/>
      <c r="W194" s="27"/>
      <c r="X194" s="48" t="str">
        <f aca="false">IF(OR($U194="",$C194=""),"",$U194+IF($V194="",TermsDays,$V194))</f>
        <v/>
      </c>
      <c r="Y194" s="27"/>
      <c r="Z194" s="49" t="str">
        <f aca="false">IF($L194="Invoiced",COUNTIF($L$6:$L194,"Invoiced"),"")</f>
        <v/>
      </c>
    </row>
    <row r="195" customFormat="false" ht="15" hidden="false" customHeight="false" outlineLevel="0" collapsed="false">
      <c r="A195" s="45" t="str">
        <f aca="false">IF($C195="","",POStart+COUNTA($C$6:$C195)-1)</f>
        <v/>
      </c>
      <c r="B195" s="45" t="str">
        <f aca="false">IF($A195="","",POPrefix&amp;$A195)</f>
        <v/>
      </c>
      <c r="C195" s="50"/>
      <c r="D195" s="27"/>
      <c r="E195" s="27"/>
      <c r="F195" s="27"/>
      <c r="G195" s="27"/>
      <c r="H195" s="27"/>
      <c r="I195" s="27"/>
      <c r="J195" s="27"/>
      <c r="K195" s="50"/>
      <c r="L195" s="27"/>
      <c r="M195" s="28"/>
      <c r="N195" s="28"/>
      <c r="O195" s="28"/>
      <c r="P195" s="26" t="str">
        <f aca="false">IF($C195="","",IF(OR($L195="Closed",$L195="Cancelled"),0,MAX(0,$M195-$O195)))</f>
        <v/>
      </c>
      <c r="Q195" s="45" t="str">
        <f aca="true">IF(OR($C195="",$L195="Closed",$L195="Cancelled",$L195="Invoiced"),"",MAX(0,TODAY()-$C195))</f>
        <v/>
      </c>
      <c r="R195" s="50"/>
      <c r="S195" s="47" t="str">
        <f aca="true">IF($C195="","",IF(AND($O195&gt;0,$O195&gt;$M195),"Invoice over PO - check",IF(AND($J195="Pending approval",TODAY()-$C195&gt;AlertDays),"Approval waiting",IF(AND($R195&lt;&gt;"",$R195&lt;TODAY(),OR($L195="Open",$L195="Partially received")),"Delivery overdue",""))))</f>
        <v/>
      </c>
      <c r="T195" s="27"/>
      <c r="U195" s="50"/>
      <c r="V195" s="27"/>
      <c r="W195" s="27"/>
      <c r="X195" s="48" t="str">
        <f aca="false">IF(OR($U195="",$C195=""),"",$U195+IF($V195="",TermsDays,$V195))</f>
        <v/>
      </c>
      <c r="Y195" s="27"/>
      <c r="Z195" s="49" t="str">
        <f aca="false">IF($L195="Invoiced",COUNTIF($L$6:$L195,"Invoiced"),"")</f>
        <v/>
      </c>
    </row>
    <row r="196" customFormat="false" ht="15" hidden="false" customHeight="false" outlineLevel="0" collapsed="false">
      <c r="A196" s="45" t="str">
        <f aca="false">IF($C196="","",POStart+COUNTA($C$6:$C196)-1)</f>
        <v/>
      </c>
      <c r="B196" s="45" t="str">
        <f aca="false">IF($A196="","",POPrefix&amp;$A196)</f>
        <v/>
      </c>
      <c r="C196" s="50"/>
      <c r="D196" s="27"/>
      <c r="E196" s="27"/>
      <c r="F196" s="27"/>
      <c r="G196" s="27"/>
      <c r="H196" s="27"/>
      <c r="I196" s="27"/>
      <c r="J196" s="27"/>
      <c r="K196" s="50"/>
      <c r="L196" s="27"/>
      <c r="M196" s="28"/>
      <c r="N196" s="28"/>
      <c r="O196" s="28"/>
      <c r="P196" s="26" t="str">
        <f aca="false">IF($C196="","",IF(OR($L196="Closed",$L196="Cancelled"),0,MAX(0,$M196-$O196)))</f>
        <v/>
      </c>
      <c r="Q196" s="45" t="str">
        <f aca="true">IF(OR($C196="",$L196="Closed",$L196="Cancelled",$L196="Invoiced"),"",MAX(0,TODAY()-$C196))</f>
        <v/>
      </c>
      <c r="R196" s="50"/>
      <c r="S196" s="47" t="str">
        <f aca="true">IF($C196="","",IF(AND($O196&gt;0,$O196&gt;$M196),"Invoice over PO - check",IF(AND($J196="Pending approval",TODAY()-$C196&gt;AlertDays),"Approval waiting",IF(AND($R196&lt;&gt;"",$R196&lt;TODAY(),OR($L196="Open",$L196="Partially received")),"Delivery overdue",""))))</f>
        <v/>
      </c>
      <c r="T196" s="27"/>
      <c r="U196" s="50"/>
      <c r="V196" s="27"/>
      <c r="W196" s="27"/>
      <c r="X196" s="48" t="str">
        <f aca="false">IF(OR($U196="",$C196=""),"",$U196+IF($V196="",TermsDays,$V196))</f>
        <v/>
      </c>
      <c r="Y196" s="27"/>
      <c r="Z196" s="49" t="str">
        <f aca="false">IF($L196="Invoiced",COUNTIF($L$6:$L196,"Invoiced"),"")</f>
        <v/>
      </c>
    </row>
    <row r="197" customFormat="false" ht="15" hidden="false" customHeight="false" outlineLevel="0" collapsed="false">
      <c r="A197" s="45" t="str">
        <f aca="false">IF($C197="","",POStart+COUNTA($C$6:$C197)-1)</f>
        <v/>
      </c>
      <c r="B197" s="45" t="str">
        <f aca="false">IF($A197="","",POPrefix&amp;$A197)</f>
        <v/>
      </c>
      <c r="C197" s="50"/>
      <c r="D197" s="27"/>
      <c r="E197" s="27"/>
      <c r="F197" s="27"/>
      <c r="G197" s="27"/>
      <c r="H197" s="27"/>
      <c r="I197" s="27"/>
      <c r="J197" s="27"/>
      <c r="K197" s="50"/>
      <c r="L197" s="27"/>
      <c r="M197" s="28"/>
      <c r="N197" s="28"/>
      <c r="O197" s="28"/>
      <c r="P197" s="26" t="str">
        <f aca="false">IF($C197="","",IF(OR($L197="Closed",$L197="Cancelled"),0,MAX(0,$M197-$O197)))</f>
        <v/>
      </c>
      <c r="Q197" s="45" t="str">
        <f aca="true">IF(OR($C197="",$L197="Closed",$L197="Cancelled",$L197="Invoiced"),"",MAX(0,TODAY()-$C197))</f>
        <v/>
      </c>
      <c r="R197" s="50"/>
      <c r="S197" s="47" t="str">
        <f aca="true">IF($C197="","",IF(AND($O197&gt;0,$O197&gt;$M197),"Invoice over PO - check",IF(AND($J197="Pending approval",TODAY()-$C197&gt;AlertDays),"Approval waiting",IF(AND($R197&lt;&gt;"",$R197&lt;TODAY(),OR($L197="Open",$L197="Partially received")),"Delivery overdue",""))))</f>
        <v/>
      </c>
      <c r="T197" s="27"/>
      <c r="U197" s="50"/>
      <c r="V197" s="27"/>
      <c r="W197" s="27"/>
      <c r="X197" s="48" t="str">
        <f aca="false">IF(OR($U197="",$C197=""),"",$U197+IF($V197="",TermsDays,$V197))</f>
        <v/>
      </c>
      <c r="Y197" s="27"/>
      <c r="Z197" s="49" t="str">
        <f aca="false">IF($L197="Invoiced",COUNTIF($L$6:$L197,"Invoiced"),"")</f>
        <v/>
      </c>
    </row>
    <row r="198" customFormat="false" ht="15" hidden="false" customHeight="false" outlineLevel="0" collapsed="false">
      <c r="A198" s="45" t="str">
        <f aca="false">IF($C198="","",POStart+COUNTA($C$6:$C198)-1)</f>
        <v/>
      </c>
      <c r="B198" s="45" t="str">
        <f aca="false">IF($A198="","",POPrefix&amp;$A198)</f>
        <v/>
      </c>
      <c r="C198" s="50"/>
      <c r="D198" s="27"/>
      <c r="E198" s="27"/>
      <c r="F198" s="27"/>
      <c r="G198" s="27"/>
      <c r="H198" s="27"/>
      <c r="I198" s="27"/>
      <c r="J198" s="27"/>
      <c r="K198" s="50"/>
      <c r="L198" s="27"/>
      <c r="M198" s="28"/>
      <c r="N198" s="28"/>
      <c r="O198" s="28"/>
      <c r="P198" s="26" t="str">
        <f aca="false">IF($C198="","",IF(OR($L198="Closed",$L198="Cancelled"),0,MAX(0,$M198-$O198)))</f>
        <v/>
      </c>
      <c r="Q198" s="45" t="str">
        <f aca="true">IF(OR($C198="",$L198="Closed",$L198="Cancelled",$L198="Invoiced"),"",MAX(0,TODAY()-$C198))</f>
        <v/>
      </c>
      <c r="R198" s="50"/>
      <c r="S198" s="47" t="str">
        <f aca="true">IF($C198="","",IF(AND($O198&gt;0,$O198&gt;$M198),"Invoice over PO - check",IF(AND($J198="Pending approval",TODAY()-$C198&gt;AlertDays),"Approval waiting",IF(AND($R198&lt;&gt;"",$R198&lt;TODAY(),OR($L198="Open",$L198="Partially received")),"Delivery overdue",""))))</f>
        <v/>
      </c>
      <c r="T198" s="27"/>
      <c r="U198" s="50"/>
      <c r="V198" s="27"/>
      <c r="W198" s="27"/>
      <c r="X198" s="48" t="str">
        <f aca="false">IF(OR($U198="",$C198=""),"",$U198+IF($V198="",TermsDays,$V198))</f>
        <v/>
      </c>
      <c r="Y198" s="27"/>
      <c r="Z198" s="49" t="str">
        <f aca="false">IF($L198="Invoiced",COUNTIF($L$6:$L198,"Invoiced"),"")</f>
        <v/>
      </c>
    </row>
    <row r="199" customFormat="false" ht="15" hidden="false" customHeight="false" outlineLevel="0" collapsed="false">
      <c r="A199" s="45" t="str">
        <f aca="false">IF($C199="","",POStart+COUNTA($C$6:$C199)-1)</f>
        <v/>
      </c>
      <c r="B199" s="45" t="str">
        <f aca="false">IF($A199="","",POPrefix&amp;$A199)</f>
        <v/>
      </c>
      <c r="C199" s="50"/>
      <c r="D199" s="27"/>
      <c r="E199" s="27"/>
      <c r="F199" s="27"/>
      <c r="G199" s="27"/>
      <c r="H199" s="27"/>
      <c r="I199" s="27"/>
      <c r="J199" s="27"/>
      <c r="K199" s="50"/>
      <c r="L199" s="27"/>
      <c r="M199" s="28"/>
      <c r="N199" s="28"/>
      <c r="O199" s="28"/>
      <c r="P199" s="26" t="str">
        <f aca="false">IF($C199="","",IF(OR($L199="Closed",$L199="Cancelled"),0,MAX(0,$M199-$O199)))</f>
        <v/>
      </c>
      <c r="Q199" s="45" t="str">
        <f aca="true">IF(OR($C199="",$L199="Closed",$L199="Cancelled",$L199="Invoiced"),"",MAX(0,TODAY()-$C199))</f>
        <v/>
      </c>
      <c r="R199" s="50"/>
      <c r="S199" s="47" t="str">
        <f aca="true">IF($C199="","",IF(AND($O199&gt;0,$O199&gt;$M199),"Invoice over PO - check",IF(AND($J199="Pending approval",TODAY()-$C199&gt;AlertDays),"Approval waiting",IF(AND($R199&lt;&gt;"",$R199&lt;TODAY(),OR($L199="Open",$L199="Partially received")),"Delivery overdue",""))))</f>
        <v/>
      </c>
      <c r="T199" s="27"/>
      <c r="U199" s="50"/>
      <c r="V199" s="27"/>
      <c r="W199" s="27"/>
      <c r="X199" s="48" t="str">
        <f aca="false">IF(OR($U199="",$C199=""),"",$U199+IF($V199="",TermsDays,$V199))</f>
        <v/>
      </c>
      <c r="Y199" s="27"/>
      <c r="Z199" s="49" t="str">
        <f aca="false">IF($L199="Invoiced",COUNTIF($L$6:$L199,"Invoiced"),"")</f>
        <v/>
      </c>
    </row>
    <row r="200" customFormat="false" ht="15" hidden="false" customHeight="false" outlineLevel="0" collapsed="false">
      <c r="A200" s="45" t="str">
        <f aca="false">IF($C200="","",POStart+COUNTA($C$6:$C200)-1)</f>
        <v/>
      </c>
      <c r="B200" s="45" t="str">
        <f aca="false">IF($A200="","",POPrefix&amp;$A200)</f>
        <v/>
      </c>
      <c r="C200" s="50"/>
      <c r="D200" s="27"/>
      <c r="E200" s="27"/>
      <c r="F200" s="27"/>
      <c r="G200" s="27"/>
      <c r="H200" s="27"/>
      <c r="I200" s="27"/>
      <c r="J200" s="27"/>
      <c r="K200" s="50"/>
      <c r="L200" s="27"/>
      <c r="M200" s="28"/>
      <c r="N200" s="28"/>
      <c r="O200" s="28"/>
      <c r="P200" s="26" t="str">
        <f aca="false">IF($C200="","",IF(OR($L200="Closed",$L200="Cancelled"),0,MAX(0,$M200-$O200)))</f>
        <v/>
      </c>
      <c r="Q200" s="45" t="str">
        <f aca="true">IF(OR($C200="",$L200="Closed",$L200="Cancelled",$L200="Invoiced"),"",MAX(0,TODAY()-$C200))</f>
        <v/>
      </c>
      <c r="R200" s="50"/>
      <c r="S200" s="47" t="str">
        <f aca="true">IF($C200="","",IF(AND($O200&gt;0,$O200&gt;$M200),"Invoice over PO - check",IF(AND($J200="Pending approval",TODAY()-$C200&gt;AlertDays),"Approval waiting",IF(AND($R200&lt;&gt;"",$R200&lt;TODAY(),OR($L200="Open",$L200="Partially received")),"Delivery overdue",""))))</f>
        <v/>
      </c>
      <c r="T200" s="27"/>
      <c r="U200" s="50"/>
      <c r="V200" s="27"/>
      <c r="W200" s="27"/>
      <c r="X200" s="48" t="str">
        <f aca="false">IF(OR($U200="",$C200=""),"",$U200+IF($V200="",TermsDays,$V200))</f>
        <v/>
      </c>
      <c r="Y200" s="27"/>
      <c r="Z200" s="49" t="str">
        <f aca="false">IF($L200="Invoiced",COUNTIF($L$6:$L200,"Invoiced"),"")</f>
        <v/>
      </c>
    </row>
    <row r="201" customFormat="false" ht="15" hidden="false" customHeight="false" outlineLevel="0" collapsed="false">
      <c r="A201" s="45" t="str">
        <f aca="false">IF($C201="","",POStart+COUNTA($C$6:$C201)-1)</f>
        <v/>
      </c>
      <c r="B201" s="45" t="str">
        <f aca="false">IF($A201="","",POPrefix&amp;$A201)</f>
        <v/>
      </c>
      <c r="C201" s="50"/>
      <c r="D201" s="27"/>
      <c r="E201" s="27"/>
      <c r="F201" s="27"/>
      <c r="G201" s="27"/>
      <c r="H201" s="27"/>
      <c r="I201" s="27"/>
      <c r="J201" s="27"/>
      <c r="K201" s="50"/>
      <c r="L201" s="27"/>
      <c r="M201" s="28"/>
      <c r="N201" s="28"/>
      <c r="O201" s="28"/>
      <c r="P201" s="26" t="str">
        <f aca="false">IF($C201="","",IF(OR($L201="Closed",$L201="Cancelled"),0,MAX(0,$M201-$O201)))</f>
        <v/>
      </c>
      <c r="Q201" s="45" t="str">
        <f aca="true">IF(OR($C201="",$L201="Closed",$L201="Cancelled",$L201="Invoiced"),"",MAX(0,TODAY()-$C201))</f>
        <v/>
      </c>
      <c r="R201" s="50"/>
      <c r="S201" s="47" t="str">
        <f aca="true">IF($C201="","",IF(AND($O201&gt;0,$O201&gt;$M201),"Invoice over PO - check",IF(AND($J201="Pending approval",TODAY()-$C201&gt;AlertDays),"Approval waiting",IF(AND($R201&lt;&gt;"",$R201&lt;TODAY(),OR($L201="Open",$L201="Partially received")),"Delivery overdue",""))))</f>
        <v/>
      </c>
      <c r="T201" s="27"/>
      <c r="U201" s="50"/>
      <c r="V201" s="27"/>
      <c r="W201" s="27"/>
      <c r="X201" s="48" t="str">
        <f aca="false">IF(OR($U201="",$C201=""),"",$U201+IF($V201="",TermsDays,$V201))</f>
        <v/>
      </c>
      <c r="Y201" s="27"/>
      <c r="Z201" s="49" t="str">
        <f aca="false">IF($L201="Invoiced",COUNTIF($L$6:$L201,"Invoiced"),"")</f>
        <v/>
      </c>
    </row>
    <row r="202" customFormat="false" ht="15" hidden="false" customHeight="false" outlineLevel="0" collapsed="false">
      <c r="A202" s="45" t="str">
        <f aca="false">IF($C202="","",POStart+COUNTA($C$6:$C202)-1)</f>
        <v/>
      </c>
      <c r="B202" s="45" t="str">
        <f aca="false">IF($A202="","",POPrefix&amp;$A202)</f>
        <v/>
      </c>
      <c r="C202" s="50"/>
      <c r="D202" s="27"/>
      <c r="E202" s="27"/>
      <c r="F202" s="27"/>
      <c r="G202" s="27"/>
      <c r="H202" s="27"/>
      <c r="I202" s="27"/>
      <c r="J202" s="27"/>
      <c r="K202" s="50"/>
      <c r="L202" s="27"/>
      <c r="M202" s="28"/>
      <c r="N202" s="28"/>
      <c r="O202" s="28"/>
      <c r="P202" s="26" t="str">
        <f aca="false">IF($C202="","",IF(OR($L202="Closed",$L202="Cancelled"),0,MAX(0,$M202-$O202)))</f>
        <v/>
      </c>
      <c r="Q202" s="45" t="str">
        <f aca="true">IF(OR($C202="",$L202="Closed",$L202="Cancelled",$L202="Invoiced"),"",MAX(0,TODAY()-$C202))</f>
        <v/>
      </c>
      <c r="R202" s="50"/>
      <c r="S202" s="47" t="str">
        <f aca="true">IF($C202="","",IF(AND($O202&gt;0,$O202&gt;$M202),"Invoice over PO - check",IF(AND($J202="Pending approval",TODAY()-$C202&gt;AlertDays),"Approval waiting",IF(AND($R202&lt;&gt;"",$R202&lt;TODAY(),OR($L202="Open",$L202="Partially received")),"Delivery overdue",""))))</f>
        <v/>
      </c>
      <c r="T202" s="27"/>
      <c r="U202" s="50"/>
      <c r="V202" s="27"/>
      <c r="W202" s="27"/>
      <c r="X202" s="48" t="str">
        <f aca="false">IF(OR($U202="",$C202=""),"",$U202+IF($V202="",TermsDays,$V202))</f>
        <v/>
      </c>
      <c r="Y202" s="27"/>
      <c r="Z202" s="49" t="str">
        <f aca="false">IF($L202="Invoiced",COUNTIF($L$6:$L202,"Invoiced"),"")</f>
        <v/>
      </c>
    </row>
    <row r="203" customFormat="false" ht="15" hidden="false" customHeight="false" outlineLevel="0" collapsed="false">
      <c r="A203" s="45" t="str">
        <f aca="false">IF($C203="","",POStart+COUNTA($C$6:$C203)-1)</f>
        <v/>
      </c>
      <c r="B203" s="45" t="str">
        <f aca="false">IF($A203="","",POPrefix&amp;$A203)</f>
        <v/>
      </c>
      <c r="C203" s="50"/>
      <c r="D203" s="27"/>
      <c r="E203" s="27"/>
      <c r="F203" s="27"/>
      <c r="G203" s="27"/>
      <c r="H203" s="27"/>
      <c r="I203" s="27"/>
      <c r="J203" s="27"/>
      <c r="K203" s="50"/>
      <c r="L203" s="27"/>
      <c r="M203" s="28"/>
      <c r="N203" s="28"/>
      <c r="O203" s="28"/>
      <c r="P203" s="26" t="str">
        <f aca="false">IF($C203="","",IF(OR($L203="Closed",$L203="Cancelled"),0,MAX(0,$M203-$O203)))</f>
        <v/>
      </c>
      <c r="Q203" s="45" t="str">
        <f aca="true">IF(OR($C203="",$L203="Closed",$L203="Cancelled",$L203="Invoiced"),"",MAX(0,TODAY()-$C203))</f>
        <v/>
      </c>
      <c r="R203" s="50"/>
      <c r="S203" s="47" t="str">
        <f aca="true">IF($C203="","",IF(AND($O203&gt;0,$O203&gt;$M203),"Invoice over PO - check",IF(AND($J203="Pending approval",TODAY()-$C203&gt;AlertDays),"Approval waiting",IF(AND($R203&lt;&gt;"",$R203&lt;TODAY(),OR($L203="Open",$L203="Partially received")),"Delivery overdue",""))))</f>
        <v/>
      </c>
      <c r="T203" s="27"/>
      <c r="U203" s="50"/>
      <c r="V203" s="27"/>
      <c r="W203" s="27"/>
      <c r="X203" s="48" t="str">
        <f aca="false">IF(OR($U203="",$C203=""),"",$U203+IF($V203="",TermsDays,$V203))</f>
        <v/>
      </c>
      <c r="Y203" s="27"/>
      <c r="Z203" s="49" t="str">
        <f aca="false">IF($L203="Invoiced",COUNTIF($L$6:$L203,"Invoiced"),"")</f>
        <v/>
      </c>
    </row>
    <row r="204" customFormat="false" ht="15" hidden="false" customHeight="false" outlineLevel="0" collapsed="false">
      <c r="A204" s="45" t="str">
        <f aca="false">IF($C204="","",POStart+COUNTA($C$6:$C204)-1)</f>
        <v/>
      </c>
      <c r="B204" s="45" t="str">
        <f aca="false">IF($A204="","",POPrefix&amp;$A204)</f>
        <v/>
      </c>
      <c r="C204" s="50"/>
      <c r="D204" s="27"/>
      <c r="E204" s="27"/>
      <c r="F204" s="27"/>
      <c r="G204" s="27"/>
      <c r="H204" s="27"/>
      <c r="I204" s="27"/>
      <c r="J204" s="27"/>
      <c r="K204" s="50"/>
      <c r="L204" s="27"/>
      <c r="M204" s="28"/>
      <c r="N204" s="28"/>
      <c r="O204" s="28"/>
      <c r="P204" s="26" t="str">
        <f aca="false">IF($C204="","",IF(OR($L204="Closed",$L204="Cancelled"),0,MAX(0,$M204-$O204)))</f>
        <v/>
      </c>
      <c r="Q204" s="45" t="str">
        <f aca="true">IF(OR($C204="",$L204="Closed",$L204="Cancelled",$L204="Invoiced"),"",MAX(0,TODAY()-$C204))</f>
        <v/>
      </c>
      <c r="R204" s="50"/>
      <c r="S204" s="47" t="str">
        <f aca="true">IF($C204="","",IF(AND($O204&gt;0,$O204&gt;$M204),"Invoice over PO - check",IF(AND($J204="Pending approval",TODAY()-$C204&gt;AlertDays),"Approval waiting",IF(AND($R204&lt;&gt;"",$R204&lt;TODAY(),OR($L204="Open",$L204="Partially received")),"Delivery overdue",""))))</f>
        <v/>
      </c>
      <c r="T204" s="27"/>
      <c r="U204" s="50"/>
      <c r="V204" s="27"/>
      <c r="W204" s="27"/>
      <c r="X204" s="48" t="str">
        <f aca="false">IF(OR($U204="",$C204=""),"",$U204+IF($V204="",TermsDays,$V204))</f>
        <v/>
      </c>
      <c r="Y204" s="27"/>
      <c r="Z204" s="49" t="str">
        <f aca="false">IF($L204="Invoiced",COUNTIF($L$6:$L204,"Invoiced"),"")</f>
        <v/>
      </c>
    </row>
    <row r="205" customFormat="false" ht="15" hidden="false" customHeight="false" outlineLevel="0" collapsed="false">
      <c r="A205" s="45" t="str">
        <f aca="false">IF($C205="","",POStart+COUNTA($C$6:$C205)-1)</f>
        <v/>
      </c>
      <c r="B205" s="45" t="str">
        <f aca="false">IF($A205="","",POPrefix&amp;$A205)</f>
        <v/>
      </c>
      <c r="C205" s="50"/>
      <c r="D205" s="27"/>
      <c r="E205" s="27"/>
      <c r="F205" s="27"/>
      <c r="G205" s="27"/>
      <c r="H205" s="27"/>
      <c r="I205" s="27"/>
      <c r="J205" s="27"/>
      <c r="K205" s="50"/>
      <c r="L205" s="27"/>
      <c r="M205" s="28"/>
      <c r="N205" s="28"/>
      <c r="O205" s="28"/>
      <c r="P205" s="26" t="str">
        <f aca="false">IF($C205="","",IF(OR($L205="Closed",$L205="Cancelled"),0,MAX(0,$M205-$O205)))</f>
        <v/>
      </c>
      <c r="Q205" s="45" t="str">
        <f aca="true">IF(OR($C205="",$L205="Closed",$L205="Cancelled",$L205="Invoiced"),"",MAX(0,TODAY()-$C205))</f>
        <v/>
      </c>
      <c r="R205" s="50"/>
      <c r="S205" s="47" t="str">
        <f aca="true">IF($C205="","",IF(AND($O205&gt;0,$O205&gt;$M205),"Invoice over PO - check",IF(AND($J205="Pending approval",TODAY()-$C205&gt;AlertDays),"Approval waiting",IF(AND($R205&lt;&gt;"",$R205&lt;TODAY(),OR($L205="Open",$L205="Partially received")),"Delivery overdue",""))))</f>
        <v/>
      </c>
      <c r="T205" s="27"/>
      <c r="U205" s="50"/>
      <c r="V205" s="27"/>
      <c r="W205" s="27"/>
      <c r="X205" s="48" t="str">
        <f aca="false">IF(OR($U205="",$C205=""),"",$U205+IF($V205="",TermsDays,$V205))</f>
        <v/>
      </c>
      <c r="Y205" s="27"/>
      <c r="Z205" s="49" t="str">
        <f aca="false">IF($L205="Invoiced",COUNTIF($L$6:$L205,"Invoiced"),"")</f>
        <v/>
      </c>
    </row>
  </sheetData>
  <autoFilter ref="A5:Y205"/>
  <conditionalFormatting sqref="S6:S205">
    <cfRule type="expression" priority="2" aboveAverage="0" equalAverage="0" bottom="0" percent="0" rank="0" text="" dxfId="10">
      <formula>LEFT($S6,7)="Invoice"</formula>
    </cfRule>
    <cfRule type="expression" priority="3" aboveAverage="0" equalAverage="0" bottom="0" percent="0" rank="0" text="" dxfId="11">
      <formula>OR($S6="Approval waiting",$S6="Delivery overdue")</formula>
    </cfRule>
  </conditionalFormatting>
  <conditionalFormatting sqref="J6:J205">
    <cfRule type="cellIs" priority="4" operator="equal" aboveAverage="0" equalAverage="0" bottom="0" percent="0" rank="0" text="" dxfId="12">
      <formula>"Approved"</formula>
    </cfRule>
    <cfRule type="cellIs" priority="5" operator="equal" aboveAverage="0" equalAverage="0" bottom="0" percent="0" rank="0" text="" dxfId="13">
      <formula>"Rejected"</formula>
    </cfRule>
    <cfRule type="cellIs" priority="6" operator="equal" aboveAverage="0" equalAverage="0" bottom="0" percent="0" rank="0" text="" dxfId="14">
      <formula>"Pending approval"</formula>
    </cfRule>
  </conditionalFormatting>
  <conditionalFormatting sqref="L6:L205">
    <cfRule type="expression" priority="7" aboveAverage="0" equalAverage="0" bottom="0" percent="0" rank="0" text="" dxfId="12">
      <formula>OR($L6="Closed",$L6="Invoiced")</formula>
    </cfRule>
  </conditionalFormatting>
  <conditionalFormatting sqref="O6:O205">
    <cfRule type="expression" priority="8" aboveAverage="0" equalAverage="0" bottom="0" percent="0" rank="0" text="" dxfId="13">
      <formula>AND($O6&gt;0,$O6&gt;$M6)</formula>
    </cfRule>
  </conditionalFormatting>
  <dataValidations count="8">
    <dataValidation allowBlank="true" error="Choose a value from the dropdown (edit options on the Lists tab)." errorStyle="stop" errorTitle="Pick from the list" operator="between" prompt="Department (Lists tab)" promptTitle="Dropdown" showDropDown="false" showErrorMessage="true" showInputMessage="false" sqref="F6:F205" type="list">
      <formula1>Departments</formula1>
      <formula2>0</formula2>
    </dataValidation>
    <dataValidation allowBlank="true" error="Choose a value from the dropdown (edit options on the Lists tab)." errorStyle="stop" errorTitle="Pick from the list" operator="between" prompt="Category (Lists tab)" promptTitle="Dropdown" showDropDown="false" showErrorMessage="true" showInputMessage="false" sqref="G6:G205" type="list">
      <formula1>Categories</formula1>
      <formula2>0</formula2>
    </dataValidation>
    <dataValidation allowBlank="true" error="Choose a value from the dropdown (edit options on the Lists tab)." errorStyle="stop" errorTitle="Pick from the list" operator="between" prompt="Approver (Lists tab)" promptTitle="Dropdown" showDropDown="false" showErrorMessage="true" showInputMessage="false" sqref="I6:I205" type="list">
      <formula1>Approvers</formula1>
      <formula2>0</formula2>
    </dataValidation>
    <dataValidation allowBlank="true" error="Choose a value from the dropdown (edit options on the Lists tab)." errorStyle="stop" errorTitle="Pick from the list" operator="between" prompt="Approval status" promptTitle="Dropdown" showDropDown="false" showErrorMessage="true" showInputMessage="false" sqref="J6:J205" type="list">
      <formula1>ApprovalStatus</formula1>
      <formula2>0</formula2>
    </dataValidation>
    <dataValidation allowBlank="true" error="Choose a value from the dropdown (edit options on the Lists tab)." errorStyle="stop" errorTitle="Pick from the list" operator="between" prompt="PO status" promptTitle="Dropdown" showDropDown="false" showErrorMessage="true" showInputMessage="false" sqref="L6:L205" type="list">
      <formula1>POStatus</formula1>
      <formula2>0</formula2>
    </dataValidation>
    <dataValidation allowBlank="true" error="Choose a value from the dropdown (edit options on the Lists tab)." errorStyle="stop" errorTitle="Pick from the list" operator="between" prompt="QBO account (Lists tab)" promptTitle="Dropdown" showDropDown="false" showErrorMessage="true" showInputMessage="false" sqref="W6:W205" type="list">
      <formula1>QBOAccounts</formula1>
      <formula2>0</formula2>
    </dataValidation>
    <dataValidation allowBlank="true" error="Amounts must be 0 or more." errorStyle="stop" operator="greaterThanOrEqual" showDropDown="false" showErrorMessage="true" showInputMessage="false" sqref="M6:O205" type="decimal">
      <formula1>0</formula1>
      <formula2>0</formula2>
    </dataValidation>
    <dataValidation allowBlank="true" error="Enter a date." errorStyle="stop" operator="greaterThan" showDropDown="false" showErrorMessage="true" showInputMessage="false" sqref="C6:C205 K6:K205 R6:R205 U6:U2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5" min="4" style="0" width="22"/>
    <col collapsed="false" customWidth="true" hidden="false" outlineLevel="0" max="6" min="6" style="0" width="4"/>
    <col collapsed="false" customWidth="true" hidden="false" outlineLevel="0" max="7" min="7" style="0" width="26"/>
    <col collapsed="false" customWidth="true" hidden="false" outlineLevel="0" max="8" min="8" style="0" width="18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179</v>
      </c>
    </row>
    <row r="3" customFormat="false" ht="15" hidden="false" customHeight="false" outlineLevel="0" collapsed="false">
      <c r="A3" s="3" t="s">
        <v>180</v>
      </c>
    </row>
    <row r="4" customFormat="false" ht="15" hidden="false" customHeight="false" outlineLevel="0" collapsed="false">
      <c r="A4" s="51" t="s">
        <v>181</v>
      </c>
    </row>
    <row r="5" customFormat="false" ht="30" hidden="false" customHeight="true" outlineLevel="0" collapsed="false">
      <c r="A5" s="23" t="s">
        <v>182</v>
      </c>
      <c r="B5" s="23" t="s">
        <v>183</v>
      </c>
      <c r="C5" s="23" t="s">
        <v>121</v>
      </c>
      <c r="D5" s="23" t="s">
        <v>184</v>
      </c>
      <c r="E5" s="23" t="s">
        <v>108</v>
      </c>
      <c r="F5" s="23" t="s">
        <v>110</v>
      </c>
      <c r="G5" s="23" t="s">
        <v>185</v>
      </c>
      <c r="H5" s="23" t="s">
        <v>186</v>
      </c>
    </row>
    <row r="6" customFormat="false" ht="15" hidden="false" customHeight="false" outlineLevel="0" collapsed="false">
      <c r="A6" s="21" t="s">
        <v>54</v>
      </c>
      <c r="B6" s="21" t="s">
        <v>126</v>
      </c>
      <c r="C6" s="21" t="s">
        <v>132</v>
      </c>
      <c r="D6" s="21" t="s">
        <v>128</v>
      </c>
      <c r="E6" s="21" t="s">
        <v>174</v>
      </c>
      <c r="F6" s="21" t="s">
        <v>152</v>
      </c>
      <c r="G6" s="52" t="s">
        <v>187</v>
      </c>
      <c r="H6" s="21" t="s">
        <v>188</v>
      </c>
    </row>
    <row r="7" customFormat="false" ht="15" hidden="false" customHeight="false" outlineLevel="0" collapsed="false">
      <c r="A7" s="21" t="s">
        <v>136</v>
      </c>
      <c r="B7" s="21" t="s">
        <v>149</v>
      </c>
      <c r="C7" s="21" t="s">
        <v>153</v>
      </c>
      <c r="D7" s="21" t="s">
        <v>146</v>
      </c>
      <c r="E7" s="21" t="s">
        <v>151</v>
      </c>
      <c r="F7" s="21" t="s">
        <v>147</v>
      </c>
      <c r="G7" s="52" t="s">
        <v>189</v>
      </c>
      <c r="H7" s="21" t="n">
        <v>1001</v>
      </c>
    </row>
    <row r="8" customFormat="false" ht="15" hidden="false" customHeight="false" outlineLevel="0" collapsed="false">
      <c r="A8" s="21" t="s">
        <v>143</v>
      </c>
      <c r="B8" s="21" t="s">
        <v>156</v>
      </c>
      <c r="C8" s="21" t="s">
        <v>160</v>
      </c>
      <c r="D8" s="21" t="s">
        <v>158</v>
      </c>
      <c r="E8" s="21" t="s">
        <v>129</v>
      </c>
      <c r="F8" s="21" t="s">
        <v>139</v>
      </c>
      <c r="G8" s="52" t="s">
        <v>190</v>
      </c>
      <c r="H8" s="32" t="n">
        <v>0.0725</v>
      </c>
    </row>
    <row r="9" customFormat="false" ht="15" hidden="false" customHeight="false" outlineLevel="0" collapsed="false">
      <c r="A9" s="21" t="s">
        <v>171</v>
      </c>
      <c r="B9" s="21" t="s">
        <v>137</v>
      </c>
      <c r="C9" s="21" t="s">
        <v>140</v>
      </c>
      <c r="D9" s="21" t="s">
        <v>191</v>
      </c>
      <c r="E9" s="21" t="s">
        <v>177</v>
      </c>
      <c r="F9" s="21" t="s">
        <v>130</v>
      </c>
      <c r="G9" s="52" t="s">
        <v>192</v>
      </c>
      <c r="H9" s="21" t="n">
        <v>3</v>
      </c>
    </row>
    <row r="10" customFormat="false" ht="15" hidden="false" customHeight="false" outlineLevel="0" collapsed="false">
      <c r="A10" s="21" t="s">
        <v>163</v>
      </c>
      <c r="B10" s="21" t="s">
        <v>144</v>
      </c>
      <c r="C10" s="21" t="s">
        <v>148</v>
      </c>
      <c r="D10" s="20"/>
      <c r="E10" s="20"/>
      <c r="F10" s="21" t="s">
        <v>166</v>
      </c>
      <c r="G10" s="52" t="s">
        <v>193</v>
      </c>
      <c r="H10" s="21" t="n">
        <v>30</v>
      </c>
    </row>
    <row r="11" customFormat="false" ht="15" hidden="false" customHeight="false" outlineLevel="0" collapsed="false">
      <c r="A11" s="21" t="s">
        <v>194</v>
      </c>
      <c r="B11" s="21" t="s">
        <v>195</v>
      </c>
      <c r="C11" s="21" t="s">
        <v>196</v>
      </c>
      <c r="D11" s="20"/>
      <c r="E11" s="20"/>
      <c r="F11" s="21" t="s">
        <v>178</v>
      </c>
      <c r="G11" s="53" t="s">
        <v>197</v>
      </c>
    </row>
    <row r="12" customFormat="false" ht="15" hidden="false" customHeight="false" outlineLevel="0" collapsed="false">
      <c r="A12" s="21" t="s">
        <v>198</v>
      </c>
      <c r="B12" s="21" t="s">
        <v>172</v>
      </c>
      <c r="C12" s="21" t="s">
        <v>175</v>
      </c>
      <c r="D12" s="20"/>
      <c r="E12" s="20"/>
      <c r="F12" s="20"/>
    </row>
    <row r="13" customFormat="false" ht="15" hidden="false" customHeight="false" outlineLevel="0" collapsed="false">
      <c r="A13" s="20"/>
      <c r="B13" s="21" t="s">
        <v>164</v>
      </c>
      <c r="C13" s="21" t="s">
        <v>168</v>
      </c>
      <c r="D13" s="20"/>
      <c r="E13" s="20"/>
      <c r="F13" s="20"/>
    </row>
    <row r="14" customFormat="false" ht="15" hidden="false" customHeight="false" outlineLevel="0" collapsed="false">
      <c r="A14" s="20"/>
      <c r="B14" s="20"/>
      <c r="C14" s="20"/>
      <c r="D14" s="20"/>
      <c r="E14" s="20"/>
      <c r="F14" s="20"/>
    </row>
    <row r="15" customFormat="false" ht="15" hidden="false" customHeight="false" outlineLevel="0" collapsed="false">
      <c r="A15" s="20"/>
      <c r="B15" s="20"/>
      <c r="C15" s="20"/>
      <c r="D15" s="20"/>
      <c r="E15" s="20"/>
      <c r="F15" s="20"/>
    </row>
    <row r="16" customFormat="false" ht="15" hidden="false" customHeight="false" outlineLevel="0" collapsed="false">
      <c r="A16" s="20"/>
      <c r="B16" s="20"/>
      <c r="C16" s="20"/>
      <c r="D16" s="20"/>
      <c r="E16" s="20"/>
      <c r="F16" s="20"/>
    </row>
    <row r="17" customFormat="false" ht="15" hidden="false" customHeight="false" outlineLevel="0" collapsed="false">
      <c r="A17" s="20"/>
      <c r="B17" s="20"/>
      <c r="C17" s="20"/>
      <c r="D17" s="20"/>
      <c r="E17" s="20"/>
      <c r="F17" s="20"/>
    </row>
    <row r="18" customFormat="false" ht="15" hidden="false" customHeight="false" outlineLevel="0" collapsed="false">
      <c r="A18" s="20"/>
      <c r="B18" s="20"/>
      <c r="C18" s="20"/>
      <c r="D18" s="20"/>
      <c r="E18" s="20"/>
      <c r="F18" s="20"/>
    </row>
    <row r="19" customFormat="false" ht="15" hidden="false" customHeight="false" outlineLevel="0" collapsed="false">
      <c r="A19" s="20"/>
      <c r="B19" s="20"/>
      <c r="C19" s="20"/>
      <c r="D19" s="20"/>
      <c r="E19" s="20"/>
      <c r="F19" s="20"/>
    </row>
    <row r="20" customFormat="false" ht="15" hidden="false" customHeight="false" outlineLevel="0" collapsed="false">
      <c r="A20" s="20"/>
      <c r="B20" s="20"/>
      <c r="C20" s="20"/>
      <c r="D20" s="20"/>
      <c r="E20" s="20"/>
      <c r="F20" s="20"/>
    </row>
    <row r="21" customFormat="false" ht="15" hidden="false" customHeight="false" outlineLevel="0" collapsed="false">
      <c r="A21" s="20"/>
      <c r="B21" s="20"/>
      <c r="C21" s="20"/>
      <c r="D21" s="20"/>
      <c r="E21" s="20"/>
      <c r="F21" s="20"/>
    </row>
    <row r="22" customFormat="false" ht="15" hidden="false" customHeight="false" outlineLevel="0" collapsed="false">
      <c r="A22" s="20"/>
      <c r="B22" s="20"/>
      <c r="C22" s="20"/>
      <c r="D22" s="20"/>
      <c r="E22" s="20"/>
      <c r="F22" s="20"/>
    </row>
    <row r="23" customFormat="false" ht="15" hidden="false" customHeight="false" outlineLevel="0" collapsed="false">
      <c r="A23" s="20"/>
      <c r="B23" s="20"/>
      <c r="C23" s="20"/>
      <c r="D23" s="20"/>
      <c r="E23" s="20"/>
      <c r="F23" s="20"/>
    </row>
    <row r="24" customFormat="false" ht="15" hidden="false" customHeight="false" outlineLevel="0" collapsed="false">
      <c r="A24" s="20"/>
      <c r="B24" s="20"/>
      <c r="C24" s="20"/>
      <c r="D24" s="20"/>
      <c r="E24" s="20"/>
      <c r="F24" s="20"/>
    </row>
    <row r="25" customFormat="false" ht="15" hidden="false" customHeight="false" outlineLevel="0" collapsed="false">
      <c r="A25" s="20"/>
      <c r="B25" s="20"/>
      <c r="C25" s="20"/>
      <c r="D25" s="20"/>
      <c r="E25" s="20"/>
      <c r="F25" s="20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4" min="3" style="0" width="13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36"/>
    <col collapsed="false" customWidth="true" hidden="false" outlineLevel="0" max="8" min="8" style="0" width="26"/>
    <col collapsed="false" customWidth="true" hidden="false" outlineLevel="0" max="9" min="9" style="0" width="10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199</v>
      </c>
    </row>
    <row r="3" customFormat="false" ht="15" hidden="false" customHeight="false" outlineLevel="0" collapsed="false">
      <c r="A3" s="3" t="s">
        <v>200</v>
      </c>
    </row>
    <row r="4" customFormat="false" ht="15" hidden="false" customHeight="false" outlineLevel="0" collapsed="false">
      <c r="A4" s="54" t="s">
        <v>201</v>
      </c>
    </row>
    <row r="5" customFormat="false" ht="30" hidden="false" customHeight="true" outlineLevel="0" collapsed="false">
      <c r="A5" s="23" t="s">
        <v>202</v>
      </c>
      <c r="B5" s="23" t="s">
        <v>105</v>
      </c>
      <c r="C5" s="23" t="s">
        <v>203</v>
      </c>
      <c r="D5" s="23" t="s">
        <v>204</v>
      </c>
      <c r="E5" s="23" t="s">
        <v>205</v>
      </c>
      <c r="F5" s="23" t="s">
        <v>206</v>
      </c>
      <c r="G5" s="23" t="s">
        <v>207</v>
      </c>
      <c r="H5" s="23" t="s">
        <v>208</v>
      </c>
      <c r="I5" s="23" t="s">
        <v>209</v>
      </c>
    </row>
    <row r="6" customFormat="false" ht="15" hidden="false" customHeight="false" outlineLevel="0" collapsed="false">
      <c r="A6" s="45" t="str">
        <f aca="false">IF($I6="","",INDEX('PO Log'!$T:$T,$I6))</f>
        <v>INV-55102</v>
      </c>
      <c r="B6" s="45" t="str">
        <f aca="false">IF($I6="","",INDEX('PO Log'!$D:$D,$I6))</f>
        <v>Midwest Steel Supply</v>
      </c>
      <c r="C6" s="55" t="n">
        <f aca="false">IF($I6="","",INDEX('PO Log'!$U:$U,$I6))</f>
        <v>46337</v>
      </c>
      <c r="D6" s="55" t="n">
        <f aca="false">IF($I6="","",INDEX('PO Log'!$X:$X,$I6))</f>
        <v>46367</v>
      </c>
      <c r="E6" s="45" t="str">
        <f aca="false">IF($I6="","",INDEX('PO Log'!$W:$W,$I6))</f>
        <v>Cost of Goods Sold:Materials</v>
      </c>
      <c r="F6" s="56" t="n">
        <f aca="false">IF($I6="","",INDEX('PO Log'!$O:$O,$I6))</f>
        <v>6840</v>
      </c>
      <c r="G6" s="45" t="str">
        <f aca="false">IF($I6="","",INDEX('PO Log'!$H:$H,$I6))</f>
        <v>A36 plate, 1/4in, 40 sheets</v>
      </c>
      <c r="H6" s="45" t="str">
        <f aca="false">IF($I6="","","Ref "&amp;INDEX('PO Log'!$B:$B,$I6))</f>
        <v>Ref PO-1001</v>
      </c>
      <c r="I6" s="45" t="n">
        <f aca="false">IFERROR(MATCH(1,'PO Log'!$Z$6:$Z$205,0)+5,"")</f>
        <v>6</v>
      </c>
    </row>
    <row r="7" customFormat="false" ht="15" hidden="false" customHeight="false" outlineLevel="0" collapsed="false">
      <c r="A7" s="45" t="str">
        <f aca="false">IF($I7="","",INDEX('PO Log'!$T:$T,$I7))</f>
        <v>NM-2291</v>
      </c>
      <c r="B7" s="45" t="str">
        <f aca="false">IF($I7="","",INDEX('PO Log'!$D:$D,$I7))</f>
        <v>Northline Machinery</v>
      </c>
      <c r="C7" s="55" t="n">
        <f aca="false">IF($I7="","",INDEX('PO Log'!$U:$U,$I7))</f>
        <v>46359</v>
      </c>
      <c r="D7" s="55" t="n">
        <f aca="false">IF($I7="","",INDEX('PO Log'!$X:$X,$I7))</f>
        <v>46404</v>
      </c>
      <c r="E7" s="45" t="str">
        <f aca="false">IF($I7="","",INDEX('PO Log'!$W:$W,$I7))</f>
        <v>Equipment</v>
      </c>
      <c r="F7" s="56" t="n">
        <f aca="false">IF($I7="","",INDEX('PO Log'!$O:$O,$I7))</f>
        <v>18900</v>
      </c>
      <c r="G7" s="45" t="str">
        <f aca="false">IF($I7="","",INDEX('PO Log'!$H:$H,$I7))</f>
        <v>Used CNC press brake, 110 ton</v>
      </c>
      <c r="H7" s="45" t="str">
        <f aca="false">IF($I7="","","Ref "&amp;INDEX('PO Log'!$B:$B,$I7))</f>
        <v>Ref PO-1005</v>
      </c>
      <c r="I7" s="45" t="n">
        <f aca="false">IFERROR(MATCH(2,'PO Log'!$Z$6:$Z$205,0)+5,"")</f>
        <v>10</v>
      </c>
    </row>
    <row r="8" customFormat="false" ht="15" hidden="false" customHeight="false" outlineLevel="0" collapsed="false">
      <c r="A8" s="45" t="str">
        <f aca="false">IF($I8="","",INDEX('PO Log'!$T:$T,$I8))</f>
        <v/>
      </c>
      <c r="B8" s="45" t="str">
        <f aca="false">IF($I8="","",INDEX('PO Log'!$D:$D,$I8))</f>
        <v/>
      </c>
      <c r="C8" s="55" t="str">
        <f aca="false">IF($I8="","",INDEX('PO Log'!$U:$U,$I8))</f>
        <v/>
      </c>
      <c r="D8" s="55" t="str">
        <f aca="false">IF($I8="","",INDEX('PO Log'!$X:$X,$I8))</f>
        <v/>
      </c>
      <c r="E8" s="45" t="str">
        <f aca="false">IF($I8="","",INDEX('PO Log'!$W:$W,$I8))</f>
        <v/>
      </c>
      <c r="F8" s="56" t="str">
        <f aca="false">IF($I8="","",INDEX('PO Log'!$O:$O,$I8))</f>
        <v/>
      </c>
      <c r="G8" s="45" t="str">
        <f aca="false">IF($I8="","",INDEX('PO Log'!$H:$H,$I8))</f>
        <v/>
      </c>
      <c r="H8" s="45" t="str">
        <f aca="false">IF($I8="","","Ref "&amp;INDEX('PO Log'!$B:$B,$I8))</f>
        <v/>
      </c>
      <c r="I8" s="45" t="str">
        <f aca="false">IFERROR(MATCH(3,'PO Log'!$Z$6:$Z$205,0)+5,"")</f>
        <v/>
      </c>
    </row>
    <row r="9" customFormat="false" ht="15" hidden="false" customHeight="false" outlineLevel="0" collapsed="false">
      <c r="A9" s="45" t="str">
        <f aca="false">IF($I9="","",INDEX('PO Log'!$T:$T,$I9))</f>
        <v/>
      </c>
      <c r="B9" s="45" t="str">
        <f aca="false">IF($I9="","",INDEX('PO Log'!$D:$D,$I9))</f>
        <v/>
      </c>
      <c r="C9" s="55" t="str">
        <f aca="false">IF($I9="","",INDEX('PO Log'!$U:$U,$I9))</f>
        <v/>
      </c>
      <c r="D9" s="55" t="str">
        <f aca="false">IF($I9="","",INDEX('PO Log'!$X:$X,$I9))</f>
        <v/>
      </c>
      <c r="E9" s="45" t="str">
        <f aca="false">IF($I9="","",INDEX('PO Log'!$W:$W,$I9))</f>
        <v/>
      </c>
      <c r="F9" s="56" t="str">
        <f aca="false">IF($I9="","",INDEX('PO Log'!$O:$O,$I9))</f>
        <v/>
      </c>
      <c r="G9" s="45" t="str">
        <f aca="false">IF($I9="","",INDEX('PO Log'!$H:$H,$I9))</f>
        <v/>
      </c>
      <c r="H9" s="45" t="str">
        <f aca="false">IF($I9="","","Ref "&amp;INDEX('PO Log'!$B:$B,$I9))</f>
        <v/>
      </c>
      <c r="I9" s="45" t="str">
        <f aca="false">IFERROR(MATCH(4,'PO Log'!$Z$6:$Z$205,0)+5,"")</f>
        <v/>
      </c>
    </row>
    <row r="10" customFormat="false" ht="15" hidden="false" customHeight="false" outlineLevel="0" collapsed="false">
      <c r="A10" s="45" t="str">
        <f aca="false">IF($I10="","",INDEX('PO Log'!$T:$T,$I10))</f>
        <v/>
      </c>
      <c r="B10" s="45" t="str">
        <f aca="false">IF($I10="","",INDEX('PO Log'!$D:$D,$I10))</f>
        <v/>
      </c>
      <c r="C10" s="55" t="str">
        <f aca="false">IF($I10="","",INDEX('PO Log'!$U:$U,$I10))</f>
        <v/>
      </c>
      <c r="D10" s="55" t="str">
        <f aca="false">IF($I10="","",INDEX('PO Log'!$X:$X,$I10))</f>
        <v/>
      </c>
      <c r="E10" s="45" t="str">
        <f aca="false">IF($I10="","",INDEX('PO Log'!$W:$W,$I10))</f>
        <v/>
      </c>
      <c r="F10" s="56" t="str">
        <f aca="false">IF($I10="","",INDEX('PO Log'!$O:$O,$I10))</f>
        <v/>
      </c>
      <c r="G10" s="45" t="str">
        <f aca="false">IF($I10="","",INDEX('PO Log'!$H:$H,$I10))</f>
        <v/>
      </c>
      <c r="H10" s="45" t="str">
        <f aca="false">IF($I10="","","Ref "&amp;INDEX('PO Log'!$B:$B,$I10))</f>
        <v/>
      </c>
      <c r="I10" s="45" t="str">
        <f aca="false">IFERROR(MATCH(5,'PO Log'!$Z$6:$Z$205,0)+5,"")</f>
        <v/>
      </c>
    </row>
    <row r="11" customFormat="false" ht="15" hidden="false" customHeight="false" outlineLevel="0" collapsed="false">
      <c r="A11" s="45" t="str">
        <f aca="false">IF($I11="","",INDEX('PO Log'!$T:$T,$I11))</f>
        <v/>
      </c>
      <c r="B11" s="45" t="str">
        <f aca="false">IF($I11="","",INDEX('PO Log'!$D:$D,$I11))</f>
        <v/>
      </c>
      <c r="C11" s="55" t="str">
        <f aca="false">IF($I11="","",INDEX('PO Log'!$U:$U,$I11))</f>
        <v/>
      </c>
      <c r="D11" s="55" t="str">
        <f aca="false">IF($I11="","",INDEX('PO Log'!$X:$X,$I11))</f>
        <v/>
      </c>
      <c r="E11" s="45" t="str">
        <f aca="false">IF($I11="","",INDEX('PO Log'!$W:$W,$I11))</f>
        <v/>
      </c>
      <c r="F11" s="56" t="str">
        <f aca="false">IF($I11="","",INDEX('PO Log'!$O:$O,$I11))</f>
        <v/>
      </c>
      <c r="G11" s="45" t="str">
        <f aca="false">IF($I11="","",INDEX('PO Log'!$H:$H,$I11))</f>
        <v/>
      </c>
      <c r="H11" s="45" t="str">
        <f aca="false">IF($I11="","","Ref "&amp;INDEX('PO Log'!$B:$B,$I11))</f>
        <v/>
      </c>
      <c r="I11" s="45" t="str">
        <f aca="false">IFERROR(MATCH(6,'PO Log'!$Z$6:$Z$205,0)+5,"")</f>
        <v/>
      </c>
    </row>
    <row r="12" customFormat="false" ht="15" hidden="false" customHeight="false" outlineLevel="0" collapsed="false">
      <c r="A12" s="45" t="str">
        <f aca="false">IF($I12="","",INDEX('PO Log'!$T:$T,$I12))</f>
        <v/>
      </c>
      <c r="B12" s="45" t="str">
        <f aca="false">IF($I12="","",INDEX('PO Log'!$D:$D,$I12))</f>
        <v/>
      </c>
      <c r="C12" s="55" t="str">
        <f aca="false">IF($I12="","",INDEX('PO Log'!$U:$U,$I12))</f>
        <v/>
      </c>
      <c r="D12" s="55" t="str">
        <f aca="false">IF($I12="","",INDEX('PO Log'!$X:$X,$I12))</f>
        <v/>
      </c>
      <c r="E12" s="45" t="str">
        <f aca="false">IF($I12="","",INDEX('PO Log'!$W:$W,$I12))</f>
        <v/>
      </c>
      <c r="F12" s="56" t="str">
        <f aca="false">IF($I12="","",INDEX('PO Log'!$O:$O,$I12))</f>
        <v/>
      </c>
      <c r="G12" s="45" t="str">
        <f aca="false">IF($I12="","",INDEX('PO Log'!$H:$H,$I12))</f>
        <v/>
      </c>
      <c r="H12" s="45" t="str">
        <f aca="false">IF($I12="","","Ref "&amp;INDEX('PO Log'!$B:$B,$I12))</f>
        <v/>
      </c>
      <c r="I12" s="45" t="str">
        <f aca="false">IFERROR(MATCH(7,'PO Log'!$Z$6:$Z$205,0)+5,"")</f>
        <v/>
      </c>
    </row>
    <row r="13" customFormat="false" ht="15" hidden="false" customHeight="false" outlineLevel="0" collapsed="false">
      <c r="A13" s="45" t="str">
        <f aca="false">IF($I13="","",INDEX('PO Log'!$T:$T,$I13))</f>
        <v/>
      </c>
      <c r="B13" s="45" t="str">
        <f aca="false">IF($I13="","",INDEX('PO Log'!$D:$D,$I13))</f>
        <v/>
      </c>
      <c r="C13" s="55" t="str">
        <f aca="false">IF($I13="","",INDEX('PO Log'!$U:$U,$I13))</f>
        <v/>
      </c>
      <c r="D13" s="55" t="str">
        <f aca="false">IF($I13="","",INDEX('PO Log'!$X:$X,$I13))</f>
        <v/>
      </c>
      <c r="E13" s="45" t="str">
        <f aca="false">IF($I13="","",INDEX('PO Log'!$W:$W,$I13))</f>
        <v/>
      </c>
      <c r="F13" s="56" t="str">
        <f aca="false">IF($I13="","",INDEX('PO Log'!$O:$O,$I13))</f>
        <v/>
      </c>
      <c r="G13" s="45" t="str">
        <f aca="false">IF($I13="","",INDEX('PO Log'!$H:$H,$I13))</f>
        <v/>
      </c>
      <c r="H13" s="45" t="str">
        <f aca="false">IF($I13="","","Ref "&amp;INDEX('PO Log'!$B:$B,$I13))</f>
        <v/>
      </c>
      <c r="I13" s="45" t="str">
        <f aca="false">IFERROR(MATCH(8,'PO Log'!$Z$6:$Z$205,0)+5,"")</f>
        <v/>
      </c>
    </row>
    <row r="14" customFormat="false" ht="15" hidden="false" customHeight="false" outlineLevel="0" collapsed="false">
      <c r="A14" s="45" t="str">
        <f aca="false">IF($I14="","",INDEX('PO Log'!$T:$T,$I14))</f>
        <v/>
      </c>
      <c r="B14" s="45" t="str">
        <f aca="false">IF($I14="","",INDEX('PO Log'!$D:$D,$I14))</f>
        <v/>
      </c>
      <c r="C14" s="55" t="str">
        <f aca="false">IF($I14="","",INDEX('PO Log'!$U:$U,$I14))</f>
        <v/>
      </c>
      <c r="D14" s="55" t="str">
        <f aca="false">IF($I14="","",INDEX('PO Log'!$X:$X,$I14))</f>
        <v/>
      </c>
      <c r="E14" s="45" t="str">
        <f aca="false">IF($I14="","",INDEX('PO Log'!$W:$W,$I14))</f>
        <v/>
      </c>
      <c r="F14" s="56" t="str">
        <f aca="false">IF($I14="","",INDEX('PO Log'!$O:$O,$I14))</f>
        <v/>
      </c>
      <c r="G14" s="45" t="str">
        <f aca="false">IF($I14="","",INDEX('PO Log'!$H:$H,$I14))</f>
        <v/>
      </c>
      <c r="H14" s="45" t="str">
        <f aca="false">IF($I14="","","Ref "&amp;INDEX('PO Log'!$B:$B,$I14))</f>
        <v/>
      </c>
      <c r="I14" s="45" t="str">
        <f aca="false">IFERROR(MATCH(9,'PO Log'!$Z$6:$Z$205,0)+5,"")</f>
        <v/>
      </c>
    </row>
    <row r="15" customFormat="false" ht="15" hidden="false" customHeight="false" outlineLevel="0" collapsed="false">
      <c r="A15" s="45" t="str">
        <f aca="false">IF($I15="","",INDEX('PO Log'!$T:$T,$I15))</f>
        <v/>
      </c>
      <c r="B15" s="45" t="str">
        <f aca="false">IF($I15="","",INDEX('PO Log'!$D:$D,$I15))</f>
        <v/>
      </c>
      <c r="C15" s="55" t="str">
        <f aca="false">IF($I15="","",INDEX('PO Log'!$U:$U,$I15))</f>
        <v/>
      </c>
      <c r="D15" s="55" t="str">
        <f aca="false">IF($I15="","",INDEX('PO Log'!$X:$X,$I15))</f>
        <v/>
      </c>
      <c r="E15" s="45" t="str">
        <f aca="false">IF($I15="","",INDEX('PO Log'!$W:$W,$I15))</f>
        <v/>
      </c>
      <c r="F15" s="56" t="str">
        <f aca="false">IF($I15="","",INDEX('PO Log'!$O:$O,$I15))</f>
        <v/>
      </c>
      <c r="G15" s="45" t="str">
        <f aca="false">IF($I15="","",INDEX('PO Log'!$H:$H,$I15))</f>
        <v/>
      </c>
      <c r="H15" s="45" t="str">
        <f aca="false">IF($I15="","","Ref "&amp;INDEX('PO Log'!$B:$B,$I15))</f>
        <v/>
      </c>
      <c r="I15" s="45" t="str">
        <f aca="false">IFERROR(MATCH(10,'PO Log'!$Z$6:$Z$205,0)+5,"")</f>
        <v/>
      </c>
    </row>
    <row r="16" customFormat="false" ht="15" hidden="false" customHeight="false" outlineLevel="0" collapsed="false">
      <c r="A16" s="45" t="str">
        <f aca="false">IF($I16="","",INDEX('PO Log'!$T:$T,$I16))</f>
        <v/>
      </c>
      <c r="B16" s="45" t="str">
        <f aca="false">IF($I16="","",INDEX('PO Log'!$D:$D,$I16))</f>
        <v/>
      </c>
      <c r="C16" s="55" t="str">
        <f aca="false">IF($I16="","",INDEX('PO Log'!$U:$U,$I16))</f>
        <v/>
      </c>
      <c r="D16" s="55" t="str">
        <f aca="false">IF($I16="","",INDEX('PO Log'!$X:$X,$I16))</f>
        <v/>
      </c>
      <c r="E16" s="45" t="str">
        <f aca="false">IF($I16="","",INDEX('PO Log'!$W:$W,$I16))</f>
        <v/>
      </c>
      <c r="F16" s="56" t="str">
        <f aca="false">IF($I16="","",INDEX('PO Log'!$O:$O,$I16))</f>
        <v/>
      </c>
      <c r="G16" s="45" t="str">
        <f aca="false">IF($I16="","",INDEX('PO Log'!$H:$H,$I16))</f>
        <v/>
      </c>
      <c r="H16" s="45" t="str">
        <f aca="false">IF($I16="","","Ref "&amp;INDEX('PO Log'!$B:$B,$I16))</f>
        <v/>
      </c>
      <c r="I16" s="45" t="str">
        <f aca="false">IFERROR(MATCH(11,'PO Log'!$Z$6:$Z$205,0)+5,"")</f>
        <v/>
      </c>
    </row>
    <row r="17" customFormat="false" ht="15" hidden="false" customHeight="false" outlineLevel="0" collapsed="false">
      <c r="A17" s="45" t="str">
        <f aca="false">IF($I17="","",INDEX('PO Log'!$T:$T,$I17))</f>
        <v/>
      </c>
      <c r="B17" s="45" t="str">
        <f aca="false">IF($I17="","",INDEX('PO Log'!$D:$D,$I17))</f>
        <v/>
      </c>
      <c r="C17" s="55" t="str">
        <f aca="false">IF($I17="","",INDEX('PO Log'!$U:$U,$I17))</f>
        <v/>
      </c>
      <c r="D17" s="55" t="str">
        <f aca="false">IF($I17="","",INDEX('PO Log'!$X:$X,$I17))</f>
        <v/>
      </c>
      <c r="E17" s="45" t="str">
        <f aca="false">IF($I17="","",INDEX('PO Log'!$W:$W,$I17))</f>
        <v/>
      </c>
      <c r="F17" s="56" t="str">
        <f aca="false">IF($I17="","",INDEX('PO Log'!$O:$O,$I17))</f>
        <v/>
      </c>
      <c r="G17" s="45" t="str">
        <f aca="false">IF($I17="","",INDEX('PO Log'!$H:$H,$I17))</f>
        <v/>
      </c>
      <c r="H17" s="45" t="str">
        <f aca="false">IF($I17="","","Ref "&amp;INDEX('PO Log'!$B:$B,$I17))</f>
        <v/>
      </c>
      <c r="I17" s="45" t="str">
        <f aca="false">IFERROR(MATCH(12,'PO Log'!$Z$6:$Z$205,0)+5,"")</f>
        <v/>
      </c>
    </row>
    <row r="18" customFormat="false" ht="15" hidden="false" customHeight="false" outlineLevel="0" collapsed="false">
      <c r="A18" s="45" t="str">
        <f aca="false">IF($I18="","",INDEX('PO Log'!$T:$T,$I18))</f>
        <v/>
      </c>
      <c r="B18" s="45" t="str">
        <f aca="false">IF($I18="","",INDEX('PO Log'!$D:$D,$I18))</f>
        <v/>
      </c>
      <c r="C18" s="55" t="str">
        <f aca="false">IF($I18="","",INDEX('PO Log'!$U:$U,$I18))</f>
        <v/>
      </c>
      <c r="D18" s="55" t="str">
        <f aca="false">IF($I18="","",INDEX('PO Log'!$X:$X,$I18))</f>
        <v/>
      </c>
      <c r="E18" s="45" t="str">
        <f aca="false">IF($I18="","",INDEX('PO Log'!$W:$W,$I18))</f>
        <v/>
      </c>
      <c r="F18" s="56" t="str">
        <f aca="false">IF($I18="","",INDEX('PO Log'!$O:$O,$I18))</f>
        <v/>
      </c>
      <c r="G18" s="45" t="str">
        <f aca="false">IF($I18="","",INDEX('PO Log'!$H:$H,$I18))</f>
        <v/>
      </c>
      <c r="H18" s="45" t="str">
        <f aca="false">IF($I18="","","Ref "&amp;INDEX('PO Log'!$B:$B,$I18))</f>
        <v/>
      </c>
      <c r="I18" s="45" t="str">
        <f aca="false">IFERROR(MATCH(13,'PO Log'!$Z$6:$Z$205,0)+5,"")</f>
        <v/>
      </c>
    </row>
    <row r="19" customFormat="false" ht="15" hidden="false" customHeight="false" outlineLevel="0" collapsed="false">
      <c r="A19" s="45" t="str">
        <f aca="false">IF($I19="","",INDEX('PO Log'!$T:$T,$I19))</f>
        <v/>
      </c>
      <c r="B19" s="45" t="str">
        <f aca="false">IF($I19="","",INDEX('PO Log'!$D:$D,$I19))</f>
        <v/>
      </c>
      <c r="C19" s="55" t="str">
        <f aca="false">IF($I19="","",INDEX('PO Log'!$U:$U,$I19))</f>
        <v/>
      </c>
      <c r="D19" s="55" t="str">
        <f aca="false">IF($I19="","",INDEX('PO Log'!$X:$X,$I19))</f>
        <v/>
      </c>
      <c r="E19" s="45" t="str">
        <f aca="false">IF($I19="","",INDEX('PO Log'!$W:$W,$I19))</f>
        <v/>
      </c>
      <c r="F19" s="56" t="str">
        <f aca="false">IF($I19="","",INDEX('PO Log'!$O:$O,$I19))</f>
        <v/>
      </c>
      <c r="G19" s="45" t="str">
        <f aca="false">IF($I19="","",INDEX('PO Log'!$H:$H,$I19))</f>
        <v/>
      </c>
      <c r="H19" s="45" t="str">
        <f aca="false">IF($I19="","","Ref "&amp;INDEX('PO Log'!$B:$B,$I19))</f>
        <v/>
      </c>
      <c r="I19" s="45" t="str">
        <f aca="false">IFERROR(MATCH(14,'PO Log'!$Z$6:$Z$205,0)+5,"")</f>
        <v/>
      </c>
    </row>
    <row r="20" customFormat="false" ht="15" hidden="false" customHeight="false" outlineLevel="0" collapsed="false">
      <c r="A20" s="45" t="str">
        <f aca="false">IF($I20="","",INDEX('PO Log'!$T:$T,$I20))</f>
        <v/>
      </c>
      <c r="B20" s="45" t="str">
        <f aca="false">IF($I20="","",INDEX('PO Log'!$D:$D,$I20))</f>
        <v/>
      </c>
      <c r="C20" s="55" t="str">
        <f aca="false">IF($I20="","",INDEX('PO Log'!$U:$U,$I20))</f>
        <v/>
      </c>
      <c r="D20" s="55" t="str">
        <f aca="false">IF($I20="","",INDEX('PO Log'!$X:$X,$I20))</f>
        <v/>
      </c>
      <c r="E20" s="45" t="str">
        <f aca="false">IF($I20="","",INDEX('PO Log'!$W:$W,$I20))</f>
        <v/>
      </c>
      <c r="F20" s="56" t="str">
        <f aca="false">IF($I20="","",INDEX('PO Log'!$O:$O,$I20))</f>
        <v/>
      </c>
      <c r="G20" s="45" t="str">
        <f aca="false">IF($I20="","",INDEX('PO Log'!$H:$H,$I20))</f>
        <v/>
      </c>
      <c r="H20" s="45" t="str">
        <f aca="false">IF($I20="","","Ref "&amp;INDEX('PO Log'!$B:$B,$I20))</f>
        <v/>
      </c>
      <c r="I20" s="45" t="str">
        <f aca="false">IFERROR(MATCH(15,'PO Log'!$Z$6:$Z$205,0)+5,"")</f>
        <v/>
      </c>
    </row>
    <row r="21" customFormat="false" ht="15" hidden="false" customHeight="false" outlineLevel="0" collapsed="false">
      <c r="A21" s="45" t="str">
        <f aca="false">IF($I21="","",INDEX('PO Log'!$T:$T,$I21))</f>
        <v/>
      </c>
      <c r="B21" s="45" t="str">
        <f aca="false">IF($I21="","",INDEX('PO Log'!$D:$D,$I21))</f>
        <v/>
      </c>
      <c r="C21" s="55" t="str">
        <f aca="false">IF($I21="","",INDEX('PO Log'!$U:$U,$I21))</f>
        <v/>
      </c>
      <c r="D21" s="55" t="str">
        <f aca="false">IF($I21="","",INDEX('PO Log'!$X:$X,$I21))</f>
        <v/>
      </c>
      <c r="E21" s="45" t="str">
        <f aca="false">IF($I21="","",INDEX('PO Log'!$W:$W,$I21))</f>
        <v/>
      </c>
      <c r="F21" s="56" t="str">
        <f aca="false">IF($I21="","",INDEX('PO Log'!$O:$O,$I21))</f>
        <v/>
      </c>
      <c r="G21" s="45" t="str">
        <f aca="false">IF($I21="","",INDEX('PO Log'!$H:$H,$I21))</f>
        <v/>
      </c>
      <c r="H21" s="45" t="str">
        <f aca="false">IF($I21="","","Ref "&amp;INDEX('PO Log'!$B:$B,$I21))</f>
        <v/>
      </c>
      <c r="I21" s="45" t="str">
        <f aca="false">IFERROR(MATCH(16,'PO Log'!$Z$6:$Z$205,0)+5,"")</f>
        <v/>
      </c>
    </row>
    <row r="22" customFormat="false" ht="15" hidden="false" customHeight="false" outlineLevel="0" collapsed="false">
      <c r="A22" s="45" t="str">
        <f aca="false">IF($I22="","",INDEX('PO Log'!$T:$T,$I22))</f>
        <v/>
      </c>
      <c r="B22" s="45" t="str">
        <f aca="false">IF($I22="","",INDEX('PO Log'!$D:$D,$I22))</f>
        <v/>
      </c>
      <c r="C22" s="55" t="str">
        <f aca="false">IF($I22="","",INDEX('PO Log'!$U:$U,$I22))</f>
        <v/>
      </c>
      <c r="D22" s="55" t="str">
        <f aca="false">IF($I22="","",INDEX('PO Log'!$X:$X,$I22))</f>
        <v/>
      </c>
      <c r="E22" s="45" t="str">
        <f aca="false">IF($I22="","",INDEX('PO Log'!$W:$W,$I22))</f>
        <v/>
      </c>
      <c r="F22" s="56" t="str">
        <f aca="false">IF($I22="","",INDEX('PO Log'!$O:$O,$I22))</f>
        <v/>
      </c>
      <c r="G22" s="45" t="str">
        <f aca="false">IF($I22="","",INDEX('PO Log'!$H:$H,$I22))</f>
        <v/>
      </c>
      <c r="H22" s="45" t="str">
        <f aca="false">IF($I22="","","Ref "&amp;INDEX('PO Log'!$B:$B,$I22))</f>
        <v/>
      </c>
      <c r="I22" s="45" t="str">
        <f aca="false">IFERROR(MATCH(17,'PO Log'!$Z$6:$Z$205,0)+5,"")</f>
        <v/>
      </c>
    </row>
    <row r="23" customFormat="false" ht="15" hidden="false" customHeight="false" outlineLevel="0" collapsed="false">
      <c r="A23" s="45" t="str">
        <f aca="false">IF($I23="","",INDEX('PO Log'!$T:$T,$I23))</f>
        <v/>
      </c>
      <c r="B23" s="45" t="str">
        <f aca="false">IF($I23="","",INDEX('PO Log'!$D:$D,$I23))</f>
        <v/>
      </c>
      <c r="C23" s="55" t="str">
        <f aca="false">IF($I23="","",INDEX('PO Log'!$U:$U,$I23))</f>
        <v/>
      </c>
      <c r="D23" s="55" t="str">
        <f aca="false">IF($I23="","",INDEX('PO Log'!$X:$X,$I23))</f>
        <v/>
      </c>
      <c r="E23" s="45" t="str">
        <f aca="false">IF($I23="","",INDEX('PO Log'!$W:$W,$I23))</f>
        <v/>
      </c>
      <c r="F23" s="56" t="str">
        <f aca="false">IF($I23="","",INDEX('PO Log'!$O:$O,$I23))</f>
        <v/>
      </c>
      <c r="G23" s="45" t="str">
        <f aca="false">IF($I23="","",INDEX('PO Log'!$H:$H,$I23))</f>
        <v/>
      </c>
      <c r="H23" s="45" t="str">
        <f aca="false">IF($I23="","","Ref "&amp;INDEX('PO Log'!$B:$B,$I23))</f>
        <v/>
      </c>
      <c r="I23" s="45" t="str">
        <f aca="false">IFERROR(MATCH(18,'PO Log'!$Z$6:$Z$205,0)+5,"")</f>
        <v/>
      </c>
    </row>
    <row r="24" customFormat="false" ht="15" hidden="false" customHeight="false" outlineLevel="0" collapsed="false">
      <c r="A24" s="45" t="str">
        <f aca="false">IF($I24="","",INDEX('PO Log'!$T:$T,$I24))</f>
        <v/>
      </c>
      <c r="B24" s="45" t="str">
        <f aca="false">IF($I24="","",INDEX('PO Log'!$D:$D,$I24))</f>
        <v/>
      </c>
      <c r="C24" s="55" t="str">
        <f aca="false">IF($I24="","",INDEX('PO Log'!$U:$U,$I24))</f>
        <v/>
      </c>
      <c r="D24" s="55" t="str">
        <f aca="false">IF($I24="","",INDEX('PO Log'!$X:$X,$I24))</f>
        <v/>
      </c>
      <c r="E24" s="45" t="str">
        <f aca="false">IF($I24="","",INDEX('PO Log'!$W:$W,$I24))</f>
        <v/>
      </c>
      <c r="F24" s="56" t="str">
        <f aca="false">IF($I24="","",INDEX('PO Log'!$O:$O,$I24))</f>
        <v/>
      </c>
      <c r="G24" s="45" t="str">
        <f aca="false">IF($I24="","",INDEX('PO Log'!$H:$H,$I24))</f>
        <v/>
      </c>
      <c r="H24" s="45" t="str">
        <f aca="false">IF($I24="","","Ref "&amp;INDEX('PO Log'!$B:$B,$I24))</f>
        <v/>
      </c>
      <c r="I24" s="45" t="str">
        <f aca="false">IFERROR(MATCH(19,'PO Log'!$Z$6:$Z$205,0)+5,"")</f>
        <v/>
      </c>
    </row>
    <row r="25" customFormat="false" ht="15" hidden="false" customHeight="false" outlineLevel="0" collapsed="false">
      <c r="A25" s="45" t="str">
        <f aca="false">IF($I25="","",INDEX('PO Log'!$T:$T,$I25))</f>
        <v/>
      </c>
      <c r="B25" s="45" t="str">
        <f aca="false">IF($I25="","",INDEX('PO Log'!$D:$D,$I25))</f>
        <v/>
      </c>
      <c r="C25" s="55" t="str">
        <f aca="false">IF($I25="","",INDEX('PO Log'!$U:$U,$I25))</f>
        <v/>
      </c>
      <c r="D25" s="55" t="str">
        <f aca="false">IF($I25="","",INDEX('PO Log'!$X:$X,$I25))</f>
        <v/>
      </c>
      <c r="E25" s="45" t="str">
        <f aca="false">IF($I25="","",INDEX('PO Log'!$W:$W,$I25))</f>
        <v/>
      </c>
      <c r="F25" s="56" t="str">
        <f aca="false">IF($I25="","",INDEX('PO Log'!$O:$O,$I25))</f>
        <v/>
      </c>
      <c r="G25" s="45" t="str">
        <f aca="false">IF($I25="","",INDEX('PO Log'!$H:$H,$I25))</f>
        <v/>
      </c>
      <c r="H25" s="45" t="str">
        <f aca="false">IF($I25="","","Ref "&amp;INDEX('PO Log'!$B:$B,$I25))</f>
        <v/>
      </c>
      <c r="I25" s="45" t="str">
        <f aca="false">IFERROR(MATCH(20,'PO Log'!$Z$6:$Z$205,0)+5,"")</f>
        <v/>
      </c>
    </row>
    <row r="26" customFormat="false" ht="15" hidden="false" customHeight="false" outlineLevel="0" collapsed="false">
      <c r="A26" s="45" t="str">
        <f aca="false">IF($I26="","",INDEX('PO Log'!$T:$T,$I26))</f>
        <v/>
      </c>
      <c r="B26" s="45" t="str">
        <f aca="false">IF($I26="","",INDEX('PO Log'!$D:$D,$I26))</f>
        <v/>
      </c>
      <c r="C26" s="55" t="str">
        <f aca="false">IF($I26="","",INDEX('PO Log'!$U:$U,$I26))</f>
        <v/>
      </c>
      <c r="D26" s="55" t="str">
        <f aca="false">IF($I26="","",INDEX('PO Log'!$X:$X,$I26))</f>
        <v/>
      </c>
      <c r="E26" s="45" t="str">
        <f aca="false">IF($I26="","",INDEX('PO Log'!$W:$W,$I26))</f>
        <v/>
      </c>
      <c r="F26" s="56" t="str">
        <f aca="false">IF($I26="","",INDEX('PO Log'!$O:$O,$I26))</f>
        <v/>
      </c>
      <c r="G26" s="45" t="str">
        <f aca="false">IF($I26="","",INDEX('PO Log'!$H:$H,$I26))</f>
        <v/>
      </c>
      <c r="H26" s="45" t="str">
        <f aca="false">IF($I26="","","Ref "&amp;INDEX('PO Log'!$B:$B,$I26))</f>
        <v/>
      </c>
      <c r="I26" s="45" t="str">
        <f aca="false">IFERROR(MATCH(21,'PO Log'!$Z$6:$Z$205,0)+5,"")</f>
        <v/>
      </c>
    </row>
    <row r="27" customFormat="false" ht="15" hidden="false" customHeight="false" outlineLevel="0" collapsed="false">
      <c r="A27" s="45" t="str">
        <f aca="false">IF($I27="","",INDEX('PO Log'!$T:$T,$I27))</f>
        <v/>
      </c>
      <c r="B27" s="45" t="str">
        <f aca="false">IF($I27="","",INDEX('PO Log'!$D:$D,$I27))</f>
        <v/>
      </c>
      <c r="C27" s="55" t="str">
        <f aca="false">IF($I27="","",INDEX('PO Log'!$U:$U,$I27))</f>
        <v/>
      </c>
      <c r="D27" s="55" t="str">
        <f aca="false">IF($I27="","",INDEX('PO Log'!$X:$X,$I27))</f>
        <v/>
      </c>
      <c r="E27" s="45" t="str">
        <f aca="false">IF($I27="","",INDEX('PO Log'!$W:$W,$I27))</f>
        <v/>
      </c>
      <c r="F27" s="56" t="str">
        <f aca="false">IF($I27="","",INDEX('PO Log'!$O:$O,$I27))</f>
        <v/>
      </c>
      <c r="G27" s="45" t="str">
        <f aca="false">IF($I27="","",INDEX('PO Log'!$H:$H,$I27))</f>
        <v/>
      </c>
      <c r="H27" s="45" t="str">
        <f aca="false">IF($I27="","","Ref "&amp;INDEX('PO Log'!$B:$B,$I27))</f>
        <v/>
      </c>
      <c r="I27" s="45" t="str">
        <f aca="false">IFERROR(MATCH(22,'PO Log'!$Z$6:$Z$205,0)+5,"")</f>
        <v/>
      </c>
    </row>
    <row r="28" customFormat="false" ht="15" hidden="false" customHeight="false" outlineLevel="0" collapsed="false">
      <c r="A28" s="45" t="str">
        <f aca="false">IF($I28="","",INDEX('PO Log'!$T:$T,$I28))</f>
        <v/>
      </c>
      <c r="B28" s="45" t="str">
        <f aca="false">IF($I28="","",INDEX('PO Log'!$D:$D,$I28))</f>
        <v/>
      </c>
      <c r="C28" s="55" t="str">
        <f aca="false">IF($I28="","",INDEX('PO Log'!$U:$U,$I28))</f>
        <v/>
      </c>
      <c r="D28" s="55" t="str">
        <f aca="false">IF($I28="","",INDEX('PO Log'!$X:$X,$I28))</f>
        <v/>
      </c>
      <c r="E28" s="45" t="str">
        <f aca="false">IF($I28="","",INDEX('PO Log'!$W:$W,$I28))</f>
        <v/>
      </c>
      <c r="F28" s="56" t="str">
        <f aca="false">IF($I28="","",INDEX('PO Log'!$O:$O,$I28))</f>
        <v/>
      </c>
      <c r="G28" s="45" t="str">
        <f aca="false">IF($I28="","",INDEX('PO Log'!$H:$H,$I28))</f>
        <v/>
      </c>
      <c r="H28" s="45" t="str">
        <f aca="false">IF($I28="","","Ref "&amp;INDEX('PO Log'!$B:$B,$I28))</f>
        <v/>
      </c>
      <c r="I28" s="45" t="str">
        <f aca="false">IFERROR(MATCH(23,'PO Log'!$Z$6:$Z$205,0)+5,"")</f>
        <v/>
      </c>
    </row>
    <row r="29" customFormat="false" ht="15" hidden="false" customHeight="false" outlineLevel="0" collapsed="false">
      <c r="A29" s="45" t="str">
        <f aca="false">IF($I29="","",INDEX('PO Log'!$T:$T,$I29))</f>
        <v/>
      </c>
      <c r="B29" s="45" t="str">
        <f aca="false">IF($I29="","",INDEX('PO Log'!$D:$D,$I29))</f>
        <v/>
      </c>
      <c r="C29" s="55" t="str">
        <f aca="false">IF($I29="","",INDEX('PO Log'!$U:$U,$I29))</f>
        <v/>
      </c>
      <c r="D29" s="55" t="str">
        <f aca="false">IF($I29="","",INDEX('PO Log'!$X:$X,$I29))</f>
        <v/>
      </c>
      <c r="E29" s="45" t="str">
        <f aca="false">IF($I29="","",INDEX('PO Log'!$W:$W,$I29))</f>
        <v/>
      </c>
      <c r="F29" s="56" t="str">
        <f aca="false">IF($I29="","",INDEX('PO Log'!$O:$O,$I29))</f>
        <v/>
      </c>
      <c r="G29" s="45" t="str">
        <f aca="false">IF($I29="","",INDEX('PO Log'!$H:$H,$I29))</f>
        <v/>
      </c>
      <c r="H29" s="45" t="str">
        <f aca="false">IF($I29="","","Ref "&amp;INDEX('PO Log'!$B:$B,$I29))</f>
        <v/>
      </c>
      <c r="I29" s="45" t="str">
        <f aca="false">IFERROR(MATCH(24,'PO Log'!$Z$6:$Z$205,0)+5,"")</f>
        <v/>
      </c>
    </row>
    <row r="30" customFormat="false" ht="15" hidden="false" customHeight="false" outlineLevel="0" collapsed="false">
      <c r="A30" s="45" t="str">
        <f aca="false">IF($I30="","",INDEX('PO Log'!$T:$T,$I30))</f>
        <v/>
      </c>
      <c r="B30" s="45" t="str">
        <f aca="false">IF($I30="","",INDEX('PO Log'!$D:$D,$I30))</f>
        <v/>
      </c>
      <c r="C30" s="55" t="str">
        <f aca="false">IF($I30="","",INDEX('PO Log'!$U:$U,$I30))</f>
        <v/>
      </c>
      <c r="D30" s="55" t="str">
        <f aca="false">IF($I30="","",INDEX('PO Log'!$X:$X,$I30))</f>
        <v/>
      </c>
      <c r="E30" s="45" t="str">
        <f aca="false">IF($I30="","",INDEX('PO Log'!$W:$W,$I30))</f>
        <v/>
      </c>
      <c r="F30" s="56" t="str">
        <f aca="false">IF($I30="","",INDEX('PO Log'!$O:$O,$I30))</f>
        <v/>
      </c>
      <c r="G30" s="45" t="str">
        <f aca="false">IF($I30="","",INDEX('PO Log'!$H:$H,$I30))</f>
        <v/>
      </c>
      <c r="H30" s="45" t="str">
        <f aca="false">IF($I30="","","Ref "&amp;INDEX('PO Log'!$B:$B,$I30))</f>
        <v/>
      </c>
      <c r="I30" s="45" t="str">
        <f aca="false">IFERROR(MATCH(25,'PO Log'!$Z$6:$Z$205,0)+5,"")</f>
        <v/>
      </c>
    </row>
    <row r="31" customFormat="false" ht="15" hidden="false" customHeight="false" outlineLevel="0" collapsed="false">
      <c r="A31" s="45" t="str">
        <f aca="false">IF($I31="","",INDEX('PO Log'!$T:$T,$I31))</f>
        <v/>
      </c>
      <c r="B31" s="45" t="str">
        <f aca="false">IF($I31="","",INDEX('PO Log'!$D:$D,$I31))</f>
        <v/>
      </c>
      <c r="C31" s="55" t="str">
        <f aca="false">IF($I31="","",INDEX('PO Log'!$U:$U,$I31))</f>
        <v/>
      </c>
      <c r="D31" s="55" t="str">
        <f aca="false">IF($I31="","",INDEX('PO Log'!$X:$X,$I31))</f>
        <v/>
      </c>
      <c r="E31" s="45" t="str">
        <f aca="false">IF($I31="","",INDEX('PO Log'!$W:$W,$I31))</f>
        <v/>
      </c>
      <c r="F31" s="56" t="str">
        <f aca="false">IF($I31="","",INDEX('PO Log'!$O:$O,$I31))</f>
        <v/>
      </c>
      <c r="G31" s="45" t="str">
        <f aca="false">IF($I31="","",INDEX('PO Log'!$H:$H,$I31))</f>
        <v/>
      </c>
      <c r="H31" s="45" t="str">
        <f aca="false">IF($I31="","","Ref "&amp;INDEX('PO Log'!$B:$B,$I31))</f>
        <v/>
      </c>
      <c r="I31" s="45" t="str">
        <f aca="false">IFERROR(MATCH(26,'PO Log'!$Z$6:$Z$205,0)+5,"")</f>
        <v/>
      </c>
    </row>
    <row r="32" customFormat="false" ht="15" hidden="false" customHeight="false" outlineLevel="0" collapsed="false">
      <c r="A32" s="45" t="str">
        <f aca="false">IF($I32="","",INDEX('PO Log'!$T:$T,$I32))</f>
        <v/>
      </c>
      <c r="B32" s="45" t="str">
        <f aca="false">IF($I32="","",INDEX('PO Log'!$D:$D,$I32))</f>
        <v/>
      </c>
      <c r="C32" s="55" t="str">
        <f aca="false">IF($I32="","",INDEX('PO Log'!$U:$U,$I32))</f>
        <v/>
      </c>
      <c r="D32" s="55" t="str">
        <f aca="false">IF($I32="","",INDEX('PO Log'!$X:$X,$I32))</f>
        <v/>
      </c>
      <c r="E32" s="45" t="str">
        <f aca="false">IF($I32="","",INDEX('PO Log'!$W:$W,$I32))</f>
        <v/>
      </c>
      <c r="F32" s="56" t="str">
        <f aca="false">IF($I32="","",INDEX('PO Log'!$O:$O,$I32))</f>
        <v/>
      </c>
      <c r="G32" s="45" t="str">
        <f aca="false">IF($I32="","",INDEX('PO Log'!$H:$H,$I32))</f>
        <v/>
      </c>
      <c r="H32" s="45" t="str">
        <f aca="false">IF($I32="","","Ref "&amp;INDEX('PO Log'!$B:$B,$I32))</f>
        <v/>
      </c>
      <c r="I32" s="45" t="str">
        <f aca="false">IFERROR(MATCH(27,'PO Log'!$Z$6:$Z$205,0)+5,"")</f>
        <v/>
      </c>
    </row>
    <row r="33" customFormat="false" ht="15" hidden="false" customHeight="false" outlineLevel="0" collapsed="false">
      <c r="A33" s="45" t="str">
        <f aca="false">IF($I33="","",INDEX('PO Log'!$T:$T,$I33))</f>
        <v/>
      </c>
      <c r="B33" s="45" t="str">
        <f aca="false">IF($I33="","",INDEX('PO Log'!$D:$D,$I33))</f>
        <v/>
      </c>
      <c r="C33" s="55" t="str">
        <f aca="false">IF($I33="","",INDEX('PO Log'!$U:$U,$I33))</f>
        <v/>
      </c>
      <c r="D33" s="55" t="str">
        <f aca="false">IF($I33="","",INDEX('PO Log'!$X:$X,$I33))</f>
        <v/>
      </c>
      <c r="E33" s="45" t="str">
        <f aca="false">IF($I33="","",INDEX('PO Log'!$W:$W,$I33))</f>
        <v/>
      </c>
      <c r="F33" s="56" t="str">
        <f aca="false">IF($I33="","",INDEX('PO Log'!$O:$O,$I33))</f>
        <v/>
      </c>
      <c r="G33" s="45" t="str">
        <f aca="false">IF($I33="","",INDEX('PO Log'!$H:$H,$I33))</f>
        <v/>
      </c>
      <c r="H33" s="45" t="str">
        <f aca="false">IF($I33="","","Ref "&amp;INDEX('PO Log'!$B:$B,$I33))</f>
        <v/>
      </c>
      <c r="I33" s="45" t="str">
        <f aca="false">IFERROR(MATCH(28,'PO Log'!$Z$6:$Z$205,0)+5,"")</f>
        <v/>
      </c>
    </row>
    <row r="34" customFormat="false" ht="15" hidden="false" customHeight="false" outlineLevel="0" collapsed="false">
      <c r="A34" s="45" t="str">
        <f aca="false">IF($I34="","",INDEX('PO Log'!$T:$T,$I34))</f>
        <v/>
      </c>
      <c r="B34" s="45" t="str">
        <f aca="false">IF($I34="","",INDEX('PO Log'!$D:$D,$I34))</f>
        <v/>
      </c>
      <c r="C34" s="55" t="str">
        <f aca="false">IF($I34="","",INDEX('PO Log'!$U:$U,$I34))</f>
        <v/>
      </c>
      <c r="D34" s="55" t="str">
        <f aca="false">IF($I34="","",INDEX('PO Log'!$X:$X,$I34))</f>
        <v/>
      </c>
      <c r="E34" s="45" t="str">
        <f aca="false">IF($I34="","",INDEX('PO Log'!$W:$W,$I34))</f>
        <v/>
      </c>
      <c r="F34" s="56" t="str">
        <f aca="false">IF($I34="","",INDEX('PO Log'!$O:$O,$I34))</f>
        <v/>
      </c>
      <c r="G34" s="45" t="str">
        <f aca="false">IF($I34="","",INDEX('PO Log'!$H:$H,$I34))</f>
        <v/>
      </c>
      <c r="H34" s="45" t="str">
        <f aca="false">IF($I34="","","Ref "&amp;INDEX('PO Log'!$B:$B,$I34))</f>
        <v/>
      </c>
      <c r="I34" s="45" t="str">
        <f aca="false">IFERROR(MATCH(29,'PO Log'!$Z$6:$Z$205,0)+5,"")</f>
        <v/>
      </c>
    </row>
    <row r="35" customFormat="false" ht="15" hidden="false" customHeight="false" outlineLevel="0" collapsed="false">
      <c r="A35" s="45" t="str">
        <f aca="false">IF($I35="","",INDEX('PO Log'!$T:$T,$I35))</f>
        <v/>
      </c>
      <c r="B35" s="45" t="str">
        <f aca="false">IF($I35="","",INDEX('PO Log'!$D:$D,$I35))</f>
        <v/>
      </c>
      <c r="C35" s="55" t="str">
        <f aca="false">IF($I35="","",INDEX('PO Log'!$U:$U,$I35))</f>
        <v/>
      </c>
      <c r="D35" s="55" t="str">
        <f aca="false">IF($I35="","",INDEX('PO Log'!$X:$X,$I35))</f>
        <v/>
      </c>
      <c r="E35" s="45" t="str">
        <f aca="false">IF($I35="","",INDEX('PO Log'!$W:$W,$I35))</f>
        <v/>
      </c>
      <c r="F35" s="56" t="str">
        <f aca="false">IF($I35="","",INDEX('PO Log'!$O:$O,$I35))</f>
        <v/>
      </c>
      <c r="G35" s="45" t="str">
        <f aca="false">IF($I35="","",INDEX('PO Log'!$H:$H,$I35))</f>
        <v/>
      </c>
      <c r="H35" s="45" t="str">
        <f aca="false">IF($I35="","","Ref "&amp;INDEX('PO Log'!$B:$B,$I35))</f>
        <v/>
      </c>
      <c r="I35" s="45" t="str">
        <f aca="false">IFERROR(MATCH(30,'PO Log'!$Z$6:$Z$205,0)+5,"")</f>
        <v/>
      </c>
    </row>
    <row r="36" customFormat="false" ht="15" hidden="false" customHeight="false" outlineLevel="0" collapsed="false">
      <c r="A36" s="45" t="str">
        <f aca="false">IF($I36="","",INDEX('PO Log'!$T:$T,$I36))</f>
        <v/>
      </c>
      <c r="B36" s="45" t="str">
        <f aca="false">IF($I36="","",INDEX('PO Log'!$D:$D,$I36))</f>
        <v/>
      </c>
      <c r="C36" s="55" t="str">
        <f aca="false">IF($I36="","",INDEX('PO Log'!$U:$U,$I36))</f>
        <v/>
      </c>
      <c r="D36" s="55" t="str">
        <f aca="false">IF($I36="","",INDEX('PO Log'!$X:$X,$I36))</f>
        <v/>
      </c>
      <c r="E36" s="45" t="str">
        <f aca="false">IF($I36="","",INDEX('PO Log'!$W:$W,$I36))</f>
        <v/>
      </c>
      <c r="F36" s="56" t="str">
        <f aca="false">IF($I36="","",INDEX('PO Log'!$O:$O,$I36))</f>
        <v/>
      </c>
      <c r="G36" s="45" t="str">
        <f aca="false">IF($I36="","",INDEX('PO Log'!$H:$H,$I36))</f>
        <v/>
      </c>
      <c r="H36" s="45" t="str">
        <f aca="false">IF($I36="","","Ref "&amp;INDEX('PO Log'!$B:$B,$I36))</f>
        <v/>
      </c>
      <c r="I36" s="45" t="str">
        <f aca="false">IFERROR(MATCH(31,'PO Log'!$Z$6:$Z$205,0)+5,"")</f>
        <v/>
      </c>
    </row>
    <row r="37" customFormat="false" ht="15" hidden="false" customHeight="false" outlineLevel="0" collapsed="false">
      <c r="A37" s="45" t="str">
        <f aca="false">IF($I37="","",INDEX('PO Log'!$T:$T,$I37))</f>
        <v/>
      </c>
      <c r="B37" s="45" t="str">
        <f aca="false">IF($I37="","",INDEX('PO Log'!$D:$D,$I37))</f>
        <v/>
      </c>
      <c r="C37" s="55" t="str">
        <f aca="false">IF($I37="","",INDEX('PO Log'!$U:$U,$I37))</f>
        <v/>
      </c>
      <c r="D37" s="55" t="str">
        <f aca="false">IF($I37="","",INDEX('PO Log'!$X:$X,$I37))</f>
        <v/>
      </c>
      <c r="E37" s="45" t="str">
        <f aca="false">IF($I37="","",INDEX('PO Log'!$W:$W,$I37))</f>
        <v/>
      </c>
      <c r="F37" s="56" t="str">
        <f aca="false">IF($I37="","",INDEX('PO Log'!$O:$O,$I37))</f>
        <v/>
      </c>
      <c r="G37" s="45" t="str">
        <f aca="false">IF($I37="","",INDEX('PO Log'!$H:$H,$I37))</f>
        <v/>
      </c>
      <c r="H37" s="45" t="str">
        <f aca="false">IF($I37="","","Ref "&amp;INDEX('PO Log'!$B:$B,$I37))</f>
        <v/>
      </c>
      <c r="I37" s="45" t="str">
        <f aca="false">IFERROR(MATCH(32,'PO Log'!$Z$6:$Z$205,0)+5,"")</f>
        <v/>
      </c>
    </row>
    <row r="38" customFormat="false" ht="15" hidden="false" customHeight="false" outlineLevel="0" collapsed="false">
      <c r="A38" s="45" t="str">
        <f aca="false">IF($I38="","",INDEX('PO Log'!$T:$T,$I38))</f>
        <v/>
      </c>
      <c r="B38" s="45" t="str">
        <f aca="false">IF($I38="","",INDEX('PO Log'!$D:$D,$I38))</f>
        <v/>
      </c>
      <c r="C38" s="55" t="str">
        <f aca="false">IF($I38="","",INDEX('PO Log'!$U:$U,$I38))</f>
        <v/>
      </c>
      <c r="D38" s="55" t="str">
        <f aca="false">IF($I38="","",INDEX('PO Log'!$X:$X,$I38))</f>
        <v/>
      </c>
      <c r="E38" s="45" t="str">
        <f aca="false">IF($I38="","",INDEX('PO Log'!$W:$W,$I38))</f>
        <v/>
      </c>
      <c r="F38" s="56" t="str">
        <f aca="false">IF($I38="","",INDEX('PO Log'!$O:$O,$I38))</f>
        <v/>
      </c>
      <c r="G38" s="45" t="str">
        <f aca="false">IF($I38="","",INDEX('PO Log'!$H:$H,$I38))</f>
        <v/>
      </c>
      <c r="H38" s="45" t="str">
        <f aca="false">IF($I38="","","Ref "&amp;INDEX('PO Log'!$B:$B,$I38))</f>
        <v/>
      </c>
      <c r="I38" s="45" t="str">
        <f aca="false">IFERROR(MATCH(33,'PO Log'!$Z$6:$Z$205,0)+5,"")</f>
        <v/>
      </c>
    </row>
    <row r="39" customFormat="false" ht="15" hidden="false" customHeight="false" outlineLevel="0" collapsed="false">
      <c r="A39" s="45" t="str">
        <f aca="false">IF($I39="","",INDEX('PO Log'!$T:$T,$I39))</f>
        <v/>
      </c>
      <c r="B39" s="45" t="str">
        <f aca="false">IF($I39="","",INDEX('PO Log'!$D:$D,$I39))</f>
        <v/>
      </c>
      <c r="C39" s="55" t="str">
        <f aca="false">IF($I39="","",INDEX('PO Log'!$U:$U,$I39))</f>
        <v/>
      </c>
      <c r="D39" s="55" t="str">
        <f aca="false">IF($I39="","",INDEX('PO Log'!$X:$X,$I39))</f>
        <v/>
      </c>
      <c r="E39" s="45" t="str">
        <f aca="false">IF($I39="","",INDEX('PO Log'!$W:$W,$I39))</f>
        <v/>
      </c>
      <c r="F39" s="56" t="str">
        <f aca="false">IF($I39="","",INDEX('PO Log'!$O:$O,$I39))</f>
        <v/>
      </c>
      <c r="G39" s="45" t="str">
        <f aca="false">IF($I39="","",INDEX('PO Log'!$H:$H,$I39))</f>
        <v/>
      </c>
      <c r="H39" s="45" t="str">
        <f aca="false">IF($I39="","","Ref "&amp;INDEX('PO Log'!$B:$B,$I39))</f>
        <v/>
      </c>
      <c r="I39" s="45" t="str">
        <f aca="false">IFERROR(MATCH(34,'PO Log'!$Z$6:$Z$205,0)+5,"")</f>
        <v/>
      </c>
    </row>
    <row r="40" customFormat="false" ht="15" hidden="false" customHeight="false" outlineLevel="0" collapsed="false">
      <c r="A40" s="45" t="str">
        <f aca="false">IF($I40="","",INDEX('PO Log'!$T:$T,$I40))</f>
        <v/>
      </c>
      <c r="B40" s="45" t="str">
        <f aca="false">IF($I40="","",INDEX('PO Log'!$D:$D,$I40))</f>
        <v/>
      </c>
      <c r="C40" s="55" t="str">
        <f aca="false">IF($I40="","",INDEX('PO Log'!$U:$U,$I40))</f>
        <v/>
      </c>
      <c r="D40" s="55" t="str">
        <f aca="false">IF($I40="","",INDEX('PO Log'!$X:$X,$I40))</f>
        <v/>
      </c>
      <c r="E40" s="45" t="str">
        <f aca="false">IF($I40="","",INDEX('PO Log'!$W:$W,$I40))</f>
        <v/>
      </c>
      <c r="F40" s="56" t="str">
        <f aca="false">IF($I40="","",INDEX('PO Log'!$O:$O,$I40))</f>
        <v/>
      </c>
      <c r="G40" s="45" t="str">
        <f aca="false">IF($I40="","",INDEX('PO Log'!$H:$H,$I40))</f>
        <v/>
      </c>
      <c r="H40" s="45" t="str">
        <f aca="false">IF($I40="","","Ref "&amp;INDEX('PO Log'!$B:$B,$I40))</f>
        <v/>
      </c>
      <c r="I40" s="45" t="str">
        <f aca="false">IFERROR(MATCH(35,'PO Log'!$Z$6:$Z$205,0)+5,"")</f>
        <v/>
      </c>
    </row>
    <row r="41" customFormat="false" ht="15" hidden="false" customHeight="false" outlineLevel="0" collapsed="false">
      <c r="A41" s="45" t="str">
        <f aca="false">IF($I41="","",INDEX('PO Log'!$T:$T,$I41))</f>
        <v/>
      </c>
      <c r="B41" s="45" t="str">
        <f aca="false">IF($I41="","",INDEX('PO Log'!$D:$D,$I41))</f>
        <v/>
      </c>
      <c r="C41" s="55" t="str">
        <f aca="false">IF($I41="","",INDEX('PO Log'!$U:$U,$I41))</f>
        <v/>
      </c>
      <c r="D41" s="55" t="str">
        <f aca="false">IF($I41="","",INDEX('PO Log'!$X:$X,$I41))</f>
        <v/>
      </c>
      <c r="E41" s="45" t="str">
        <f aca="false">IF($I41="","",INDEX('PO Log'!$W:$W,$I41))</f>
        <v/>
      </c>
      <c r="F41" s="56" t="str">
        <f aca="false">IF($I41="","",INDEX('PO Log'!$O:$O,$I41))</f>
        <v/>
      </c>
      <c r="G41" s="45" t="str">
        <f aca="false">IF($I41="","",INDEX('PO Log'!$H:$H,$I41))</f>
        <v/>
      </c>
      <c r="H41" s="45" t="str">
        <f aca="false">IF($I41="","","Ref "&amp;INDEX('PO Log'!$B:$B,$I41))</f>
        <v/>
      </c>
      <c r="I41" s="45" t="str">
        <f aca="false">IFERROR(MATCH(36,'PO Log'!$Z$6:$Z$205,0)+5,"")</f>
        <v/>
      </c>
    </row>
    <row r="42" customFormat="false" ht="15" hidden="false" customHeight="false" outlineLevel="0" collapsed="false">
      <c r="A42" s="45" t="str">
        <f aca="false">IF($I42="","",INDEX('PO Log'!$T:$T,$I42))</f>
        <v/>
      </c>
      <c r="B42" s="45" t="str">
        <f aca="false">IF($I42="","",INDEX('PO Log'!$D:$D,$I42))</f>
        <v/>
      </c>
      <c r="C42" s="55" t="str">
        <f aca="false">IF($I42="","",INDEX('PO Log'!$U:$U,$I42))</f>
        <v/>
      </c>
      <c r="D42" s="55" t="str">
        <f aca="false">IF($I42="","",INDEX('PO Log'!$X:$X,$I42))</f>
        <v/>
      </c>
      <c r="E42" s="45" t="str">
        <f aca="false">IF($I42="","",INDEX('PO Log'!$W:$W,$I42))</f>
        <v/>
      </c>
      <c r="F42" s="56" t="str">
        <f aca="false">IF($I42="","",INDEX('PO Log'!$O:$O,$I42))</f>
        <v/>
      </c>
      <c r="G42" s="45" t="str">
        <f aca="false">IF($I42="","",INDEX('PO Log'!$H:$H,$I42))</f>
        <v/>
      </c>
      <c r="H42" s="45" t="str">
        <f aca="false">IF($I42="","","Ref "&amp;INDEX('PO Log'!$B:$B,$I42))</f>
        <v/>
      </c>
      <c r="I42" s="45" t="str">
        <f aca="false">IFERROR(MATCH(37,'PO Log'!$Z$6:$Z$205,0)+5,"")</f>
        <v/>
      </c>
    </row>
    <row r="43" customFormat="false" ht="15" hidden="false" customHeight="false" outlineLevel="0" collapsed="false">
      <c r="A43" s="45" t="str">
        <f aca="false">IF($I43="","",INDEX('PO Log'!$T:$T,$I43))</f>
        <v/>
      </c>
      <c r="B43" s="45" t="str">
        <f aca="false">IF($I43="","",INDEX('PO Log'!$D:$D,$I43))</f>
        <v/>
      </c>
      <c r="C43" s="55" t="str">
        <f aca="false">IF($I43="","",INDEX('PO Log'!$U:$U,$I43))</f>
        <v/>
      </c>
      <c r="D43" s="55" t="str">
        <f aca="false">IF($I43="","",INDEX('PO Log'!$X:$X,$I43))</f>
        <v/>
      </c>
      <c r="E43" s="45" t="str">
        <f aca="false">IF($I43="","",INDEX('PO Log'!$W:$W,$I43))</f>
        <v/>
      </c>
      <c r="F43" s="56" t="str">
        <f aca="false">IF($I43="","",INDEX('PO Log'!$O:$O,$I43))</f>
        <v/>
      </c>
      <c r="G43" s="45" t="str">
        <f aca="false">IF($I43="","",INDEX('PO Log'!$H:$H,$I43))</f>
        <v/>
      </c>
      <c r="H43" s="45" t="str">
        <f aca="false">IF($I43="","","Ref "&amp;INDEX('PO Log'!$B:$B,$I43))</f>
        <v/>
      </c>
      <c r="I43" s="45" t="str">
        <f aca="false">IFERROR(MATCH(38,'PO Log'!$Z$6:$Z$205,0)+5,"")</f>
        <v/>
      </c>
    </row>
    <row r="44" customFormat="false" ht="15" hidden="false" customHeight="false" outlineLevel="0" collapsed="false">
      <c r="A44" s="45" t="str">
        <f aca="false">IF($I44="","",INDEX('PO Log'!$T:$T,$I44))</f>
        <v/>
      </c>
      <c r="B44" s="45" t="str">
        <f aca="false">IF($I44="","",INDEX('PO Log'!$D:$D,$I44))</f>
        <v/>
      </c>
      <c r="C44" s="55" t="str">
        <f aca="false">IF($I44="","",INDEX('PO Log'!$U:$U,$I44))</f>
        <v/>
      </c>
      <c r="D44" s="55" t="str">
        <f aca="false">IF($I44="","",INDEX('PO Log'!$X:$X,$I44))</f>
        <v/>
      </c>
      <c r="E44" s="45" t="str">
        <f aca="false">IF($I44="","",INDEX('PO Log'!$W:$W,$I44))</f>
        <v/>
      </c>
      <c r="F44" s="56" t="str">
        <f aca="false">IF($I44="","",INDEX('PO Log'!$O:$O,$I44))</f>
        <v/>
      </c>
      <c r="G44" s="45" t="str">
        <f aca="false">IF($I44="","",INDEX('PO Log'!$H:$H,$I44))</f>
        <v/>
      </c>
      <c r="H44" s="45" t="str">
        <f aca="false">IF($I44="","","Ref "&amp;INDEX('PO Log'!$B:$B,$I44))</f>
        <v/>
      </c>
      <c r="I44" s="45" t="str">
        <f aca="false">IFERROR(MATCH(39,'PO Log'!$Z$6:$Z$205,0)+5,"")</f>
        <v/>
      </c>
    </row>
    <row r="45" customFormat="false" ht="15" hidden="false" customHeight="false" outlineLevel="0" collapsed="false">
      <c r="A45" s="45" t="str">
        <f aca="false">IF($I45="","",INDEX('PO Log'!$T:$T,$I45))</f>
        <v/>
      </c>
      <c r="B45" s="45" t="str">
        <f aca="false">IF($I45="","",INDEX('PO Log'!$D:$D,$I45))</f>
        <v/>
      </c>
      <c r="C45" s="55" t="str">
        <f aca="false">IF($I45="","",INDEX('PO Log'!$U:$U,$I45))</f>
        <v/>
      </c>
      <c r="D45" s="55" t="str">
        <f aca="false">IF($I45="","",INDEX('PO Log'!$X:$X,$I45))</f>
        <v/>
      </c>
      <c r="E45" s="45" t="str">
        <f aca="false">IF($I45="","",INDEX('PO Log'!$W:$W,$I45))</f>
        <v/>
      </c>
      <c r="F45" s="56" t="str">
        <f aca="false">IF($I45="","",INDEX('PO Log'!$O:$O,$I45))</f>
        <v/>
      </c>
      <c r="G45" s="45" t="str">
        <f aca="false">IF($I45="","",INDEX('PO Log'!$H:$H,$I45))</f>
        <v/>
      </c>
      <c r="H45" s="45" t="str">
        <f aca="false">IF($I45="","","Ref "&amp;INDEX('PO Log'!$B:$B,$I45))</f>
        <v/>
      </c>
      <c r="I45" s="45" t="str">
        <f aca="false">IFERROR(MATCH(40,'PO Log'!$Z$6:$Z$205,0)+5,"")</f>
        <v/>
      </c>
    </row>
    <row r="46" customFormat="false" ht="15" hidden="false" customHeight="false" outlineLevel="0" collapsed="false">
      <c r="A46" s="45" t="str">
        <f aca="false">IF($I46="","",INDEX('PO Log'!$T:$T,$I46))</f>
        <v/>
      </c>
      <c r="B46" s="45" t="str">
        <f aca="false">IF($I46="","",INDEX('PO Log'!$D:$D,$I46))</f>
        <v/>
      </c>
      <c r="C46" s="55" t="str">
        <f aca="false">IF($I46="","",INDEX('PO Log'!$U:$U,$I46))</f>
        <v/>
      </c>
      <c r="D46" s="55" t="str">
        <f aca="false">IF($I46="","",INDEX('PO Log'!$X:$X,$I46))</f>
        <v/>
      </c>
      <c r="E46" s="45" t="str">
        <f aca="false">IF($I46="","",INDEX('PO Log'!$W:$W,$I46))</f>
        <v/>
      </c>
      <c r="F46" s="56" t="str">
        <f aca="false">IF($I46="","",INDEX('PO Log'!$O:$O,$I46))</f>
        <v/>
      </c>
      <c r="G46" s="45" t="str">
        <f aca="false">IF($I46="","",INDEX('PO Log'!$H:$H,$I46))</f>
        <v/>
      </c>
      <c r="H46" s="45" t="str">
        <f aca="false">IF($I46="","","Ref "&amp;INDEX('PO Log'!$B:$B,$I46))</f>
        <v/>
      </c>
      <c r="I46" s="45" t="str">
        <f aca="false">IFERROR(MATCH(41,'PO Log'!$Z$6:$Z$205,0)+5,"")</f>
        <v/>
      </c>
    </row>
    <row r="47" customFormat="false" ht="15" hidden="false" customHeight="false" outlineLevel="0" collapsed="false">
      <c r="A47" s="45" t="str">
        <f aca="false">IF($I47="","",INDEX('PO Log'!$T:$T,$I47))</f>
        <v/>
      </c>
      <c r="B47" s="45" t="str">
        <f aca="false">IF($I47="","",INDEX('PO Log'!$D:$D,$I47))</f>
        <v/>
      </c>
      <c r="C47" s="55" t="str">
        <f aca="false">IF($I47="","",INDEX('PO Log'!$U:$U,$I47))</f>
        <v/>
      </c>
      <c r="D47" s="55" t="str">
        <f aca="false">IF($I47="","",INDEX('PO Log'!$X:$X,$I47))</f>
        <v/>
      </c>
      <c r="E47" s="45" t="str">
        <f aca="false">IF($I47="","",INDEX('PO Log'!$W:$W,$I47))</f>
        <v/>
      </c>
      <c r="F47" s="56" t="str">
        <f aca="false">IF($I47="","",INDEX('PO Log'!$O:$O,$I47))</f>
        <v/>
      </c>
      <c r="G47" s="45" t="str">
        <f aca="false">IF($I47="","",INDEX('PO Log'!$H:$H,$I47))</f>
        <v/>
      </c>
      <c r="H47" s="45" t="str">
        <f aca="false">IF($I47="","","Ref "&amp;INDEX('PO Log'!$B:$B,$I47))</f>
        <v/>
      </c>
      <c r="I47" s="45" t="str">
        <f aca="false">IFERROR(MATCH(42,'PO Log'!$Z$6:$Z$205,0)+5,"")</f>
        <v/>
      </c>
    </row>
    <row r="48" customFormat="false" ht="15" hidden="false" customHeight="false" outlineLevel="0" collapsed="false">
      <c r="A48" s="45" t="str">
        <f aca="false">IF($I48="","",INDEX('PO Log'!$T:$T,$I48))</f>
        <v/>
      </c>
      <c r="B48" s="45" t="str">
        <f aca="false">IF($I48="","",INDEX('PO Log'!$D:$D,$I48))</f>
        <v/>
      </c>
      <c r="C48" s="55" t="str">
        <f aca="false">IF($I48="","",INDEX('PO Log'!$U:$U,$I48))</f>
        <v/>
      </c>
      <c r="D48" s="55" t="str">
        <f aca="false">IF($I48="","",INDEX('PO Log'!$X:$X,$I48))</f>
        <v/>
      </c>
      <c r="E48" s="45" t="str">
        <f aca="false">IF($I48="","",INDEX('PO Log'!$W:$W,$I48))</f>
        <v/>
      </c>
      <c r="F48" s="56" t="str">
        <f aca="false">IF($I48="","",INDEX('PO Log'!$O:$O,$I48))</f>
        <v/>
      </c>
      <c r="G48" s="45" t="str">
        <f aca="false">IF($I48="","",INDEX('PO Log'!$H:$H,$I48))</f>
        <v/>
      </c>
      <c r="H48" s="45" t="str">
        <f aca="false">IF($I48="","","Ref "&amp;INDEX('PO Log'!$B:$B,$I48))</f>
        <v/>
      </c>
      <c r="I48" s="45" t="str">
        <f aca="false">IFERROR(MATCH(43,'PO Log'!$Z$6:$Z$205,0)+5,"")</f>
        <v/>
      </c>
    </row>
    <row r="49" customFormat="false" ht="15" hidden="false" customHeight="false" outlineLevel="0" collapsed="false">
      <c r="A49" s="45" t="str">
        <f aca="false">IF($I49="","",INDEX('PO Log'!$T:$T,$I49))</f>
        <v/>
      </c>
      <c r="B49" s="45" t="str">
        <f aca="false">IF($I49="","",INDEX('PO Log'!$D:$D,$I49))</f>
        <v/>
      </c>
      <c r="C49" s="55" t="str">
        <f aca="false">IF($I49="","",INDEX('PO Log'!$U:$U,$I49))</f>
        <v/>
      </c>
      <c r="D49" s="55" t="str">
        <f aca="false">IF($I49="","",INDEX('PO Log'!$X:$X,$I49))</f>
        <v/>
      </c>
      <c r="E49" s="45" t="str">
        <f aca="false">IF($I49="","",INDEX('PO Log'!$W:$W,$I49))</f>
        <v/>
      </c>
      <c r="F49" s="56" t="str">
        <f aca="false">IF($I49="","",INDEX('PO Log'!$O:$O,$I49))</f>
        <v/>
      </c>
      <c r="G49" s="45" t="str">
        <f aca="false">IF($I49="","",INDEX('PO Log'!$H:$H,$I49))</f>
        <v/>
      </c>
      <c r="H49" s="45" t="str">
        <f aca="false">IF($I49="","","Ref "&amp;INDEX('PO Log'!$B:$B,$I49))</f>
        <v/>
      </c>
      <c r="I49" s="45" t="str">
        <f aca="false">IFERROR(MATCH(44,'PO Log'!$Z$6:$Z$205,0)+5,"")</f>
        <v/>
      </c>
    </row>
    <row r="50" customFormat="false" ht="15" hidden="false" customHeight="false" outlineLevel="0" collapsed="false">
      <c r="A50" s="45" t="str">
        <f aca="false">IF($I50="","",INDEX('PO Log'!$T:$T,$I50))</f>
        <v/>
      </c>
      <c r="B50" s="45" t="str">
        <f aca="false">IF($I50="","",INDEX('PO Log'!$D:$D,$I50))</f>
        <v/>
      </c>
      <c r="C50" s="55" t="str">
        <f aca="false">IF($I50="","",INDEX('PO Log'!$U:$U,$I50))</f>
        <v/>
      </c>
      <c r="D50" s="55" t="str">
        <f aca="false">IF($I50="","",INDEX('PO Log'!$X:$X,$I50))</f>
        <v/>
      </c>
      <c r="E50" s="45" t="str">
        <f aca="false">IF($I50="","",INDEX('PO Log'!$W:$W,$I50))</f>
        <v/>
      </c>
      <c r="F50" s="56" t="str">
        <f aca="false">IF($I50="","",INDEX('PO Log'!$O:$O,$I50))</f>
        <v/>
      </c>
      <c r="G50" s="45" t="str">
        <f aca="false">IF($I50="","",INDEX('PO Log'!$H:$H,$I50))</f>
        <v/>
      </c>
      <c r="H50" s="45" t="str">
        <f aca="false">IF($I50="","","Ref "&amp;INDEX('PO Log'!$B:$B,$I50))</f>
        <v/>
      </c>
      <c r="I50" s="45" t="str">
        <f aca="false">IFERROR(MATCH(45,'PO Log'!$Z$6:$Z$205,0)+5,"")</f>
        <v/>
      </c>
    </row>
    <row r="51" customFormat="false" ht="15" hidden="false" customHeight="false" outlineLevel="0" collapsed="false">
      <c r="A51" s="45" t="str">
        <f aca="false">IF($I51="","",INDEX('PO Log'!$T:$T,$I51))</f>
        <v/>
      </c>
      <c r="B51" s="45" t="str">
        <f aca="false">IF($I51="","",INDEX('PO Log'!$D:$D,$I51))</f>
        <v/>
      </c>
      <c r="C51" s="55" t="str">
        <f aca="false">IF($I51="","",INDEX('PO Log'!$U:$U,$I51))</f>
        <v/>
      </c>
      <c r="D51" s="55" t="str">
        <f aca="false">IF($I51="","",INDEX('PO Log'!$X:$X,$I51))</f>
        <v/>
      </c>
      <c r="E51" s="45" t="str">
        <f aca="false">IF($I51="","",INDEX('PO Log'!$W:$W,$I51))</f>
        <v/>
      </c>
      <c r="F51" s="56" t="str">
        <f aca="false">IF($I51="","",INDEX('PO Log'!$O:$O,$I51))</f>
        <v/>
      </c>
      <c r="G51" s="45" t="str">
        <f aca="false">IF($I51="","",INDEX('PO Log'!$H:$H,$I51))</f>
        <v/>
      </c>
      <c r="H51" s="45" t="str">
        <f aca="false">IF($I51="","","Ref "&amp;INDEX('PO Log'!$B:$B,$I51))</f>
        <v/>
      </c>
      <c r="I51" s="45" t="str">
        <f aca="false">IFERROR(MATCH(46,'PO Log'!$Z$6:$Z$205,0)+5,"")</f>
        <v/>
      </c>
    </row>
    <row r="52" customFormat="false" ht="15" hidden="false" customHeight="false" outlineLevel="0" collapsed="false">
      <c r="A52" s="45" t="str">
        <f aca="false">IF($I52="","",INDEX('PO Log'!$T:$T,$I52))</f>
        <v/>
      </c>
      <c r="B52" s="45" t="str">
        <f aca="false">IF($I52="","",INDEX('PO Log'!$D:$D,$I52))</f>
        <v/>
      </c>
      <c r="C52" s="55" t="str">
        <f aca="false">IF($I52="","",INDEX('PO Log'!$U:$U,$I52))</f>
        <v/>
      </c>
      <c r="D52" s="55" t="str">
        <f aca="false">IF($I52="","",INDEX('PO Log'!$X:$X,$I52))</f>
        <v/>
      </c>
      <c r="E52" s="45" t="str">
        <f aca="false">IF($I52="","",INDEX('PO Log'!$W:$W,$I52))</f>
        <v/>
      </c>
      <c r="F52" s="56" t="str">
        <f aca="false">IF($I52="","",INDEX('PO Log'!$O:$O,$I52))</f>
        <v/>
      </c>
      <c r="G52" s="45" t="str">
        <f aca="false">IF($I52="","",INDEX('PO Log'!$H:$H,$I52))</f>
        <v/>
      </c>
      <c r="H52" s="45" t="str">
        <f aca="false">IF($I52="","","Ref "&amp;INDEX('PO Log'!$B:$B,$I52))</f>
        <v/>
      </c>
      <c r="I52" s="45" t="str">
        <f aca="false">IFERROR(MATCH(47,'PO Log'!$Z$6:$Z$205,0)+5,"")</f>
        <v/>
      </c>
    </row>
    <row r="53" customFormat="false" ht="15" hidden="false" customHeight="false" outlineLevel="0" collapsed="false">
      <c r="A53" s="45" t="str">
        <f aca="false">IF($I53="","",INDEX('PO Log'!$T:$T,$I53))</f>
        <v/>
      </c>
      <c r="B53" s="45" t="str">
        <f aca="false">IF($I53="","",INDEX('PO Log'!$D:$D,$I53))</f>
        <v/>
      </c>
      <c r="C53" s="55" t="str">
        <f aca="false">IF($I53="","",INDEX('PO Log'!$U:$U,$I53))</f>
        <v/>
      </c>
      <c r="D53" s="55" t="str">
        <f aca="false">IF($I53="","",INDEX('PO Log'!$X:$X,$I53))</f>
        <v/>
      </c>
      <c r="E53" s="45" t="str">
        <f aca="false">IF($I53="","",INDEX('PO Log'!$W:$W,$I53))</f>
        <v/>
      </c>
      <c r="F53" s="56" t="str">
        <f aca="false">IF($I53="","",INDEX('PO Log'!$O:$O,$I53))</f>
        <v/>
      </c>
      <c r="G53" s="45" t="str">
        <f aca="false">IF($I53="","",INDEX('PO Log'!$H:$H,$I53))</f>
        <v/>
      </c>
      <c r="H53" s="45" t="str">
        <f aca="false">IF($I53="","","Ref "&amp;INDEX('PO Log'!$B:$B,$I53))</f>
        <v/>
      </c>
      <c r="I53" s="45" t="str">
        <f aca="false">IFERROR(MATCH(48,'PO Log'!$Z$6:$Z$205,0)+5,"")</f>
        <v/>
      </c>
    </row>
    <row r="54" customFormat="false" ht="15" hidden="false" customHeight="false" outlineLevel="0" collapsed="false">
      <c r="A54" s="45" t="str">
        <f aca="false">IF($I54="","",INDEX('PO Log'!$T:$T,$I54))</f>
        <v/>
      </c>
      <c r="B54" s="45" t="str">
        <f aca="false">IF($I54="","",INDEX('PO Log'!$D:$D,$I54))</f>
        <v/>
      </c>
      <c r="C54" s="55" t="str">
        <f aca="false">IF($I54="","",INDEX('PO Log'!$U:$U,$I54))</f>
        <v/>
      </c>
      <c r="D54" s="55" t="str">
        <f aca="false">IF($I54="","",INDEX('PO Log'!$X:$X,$I54))</f>
        <v/>
      </c>
      <c r="E54" s="45" t="str">
        <f aca="false">IF($I54="","",INDEX('PO Log'!$W:$W,$I54))</f>
        <v/>
      </c>
      <c r="F54" s="56" t="str">
        <f aca="false">IF($I54="","",INDEX('PO Log'!$O:$O,$I54))</f>
        <v/>
      </c>
      <c r="G54" s="45" t="str">
        <f aca="false">IF($I54="","",INDEX('PO Log'!$H:$H,$I54))</f>
        <v/>
      </c>
      <c r="H54" s="45" t="str">
        <f aca="false">IF($I54="","","Ref "&amp;INDEX('PO Log'!$B:$B,$I54))</f>
        <v/>
      </c>
      <c r="I54" s="45" t="str">
        <f aca="false">IFERROR(MATCH(49,'PO Log'!$Z$6:$Z$205,0)+5,"")</f>
        <v/>
      </c>
    </row>
    <row r="55" customFormat="false" ht="15" hidden="false" customHeight="false" outlineLevel="0" collapsed="false">
      <c r="A55" s="45" t="str">
        <f aca="false">IF($I55="","",INDEX('PO Log'!$T:$T,$I55))</f>
        <v/>
      </c>
      <c r="B55" s="45" t="str">
        <f aca="false">IF($I55="","",INDEX('PO Log'!$D:$D,$I55))</f>
        <v/>
      </c>
      <c r="C55" s="55" t="str">
        <f aca="false">IF($I55="","",INDEX('PO Log'!$U:$U,$I55))</f>
        <v/>
      </c>
      <c r="D55" s="55" t="str">
        <f aca="false">IF($I55="","",INDEX('PO Log'!$X:$X,$I55))</f>
        <v/>
      </c>
      <c r="E55" s="45" t="str">
        <f aca="false">IF($I55="","",INDEX('PO Log'!$W:$W,$I55))</f>
        <v/>
      </c>
      <c r="F55" s="56" t="str">
        <f aca="false">IF($I55="","",INDEX('PO Log'!$O:$O,$I55))</f>
        <v/>
      </c>
      <c r="G55" s="45" t="str">
        <f aca="false">IF($I55="","",INDEX('PO Log'!$H:$H,$I55))</f>
        <v/>
      </c>
      <c r="H55" s="45" t="str">
        <f aca="false">IF($I55="","","Ref "&amp;INDEX('PO Log'!$B:$B,$I55))</f>
        <v/>
      </c>
      <c r="I55" s="45" t="str">
        <f aca="false">IFERROR(MATCH(50,'PO Log'!$Z$6:$Z$205,0)+5,"")</f>
        <v/>
      </c>
    </row>
    <row r="56" customFormat="false" ht="15" hidden="false" customHeight="false" outlineLevel="0" collapsed="false">
      <c r="A56" s="45" t="str">
        <f aca="false">IF($I56="","",INDEX('PO Log'!$T:$T,$I56))</f>
        <v/>
      </c>
      <c r="B56" s="45" t="str">
        <f aca="false">IF($I56="","",INDEX('PO Log'!$D:$D,$I56))</f>
        <v/>
      </c>
      <c r="C56" s="55" t="str">
        <f aca="false">IF($I56="","",INDEX('PO Log'!$U:$U,$I56))</f>
        <v/>
      </c>
      <c r="D56" s="55" t="str">
        <f aca="false">IF($I56="","",INDEX('PO Log'!$X:$X,$I56))</f>
        <v/>
      </c>
      <c r="E56" s="45" t="str">
        <f aca="false">IF($I56="","",INDEX('PO Log'!$W:$W,$I56))</f>
        <v/>
      </c>
      <c r="F56" s="56" t="str">
        <f aca="false">IF($I56="","",INDEX('PO Log'!$O:$O,$I56))</f>
        <v/>
      </c>
      <c r="G56" s="45" t="str">
        <f aca="false">IF($I56="","",INDEX('PO Log'!$H:$H,$I56))</f>
        <v/>
      </c>
      <c r="H56" s="45" t="str">
        <f aca="false">IF($I56="","","Ref "&amp;INDEX('PO Log'!$B:$B,$I56))</f>
        <v/>
      </c>
      <c r="I56" s="45" t="str">
        <f aca="false">IFERROR(MATCH(51,'PO Log'!$Z$6:$Z$205,0)+5,"")</f>
        <v/>
      </c>
    </row>
    <row r="57" customFormat="false" ht="15" hidden="false" customHeight="false" outlineLevel="0" collapsed="false">
      <c r="A57" s="45" t="str">
        <f aca="false">IF($I57="","",INDEX('PO Log'!$T:$T,$I57))</f>
        <v/>
      </c>
      <c r="B57" s="45" t="str">
        <f aca="false">IF($I57="","",INDEX('PO Log'!$D:$D,$I57))</f>
        <v/>
      </c>
      <c r="C57" s="55" t="str">
        <f aca="false">IF($I57="","",INDEX('PO Log'!$U:$U,$I57))</f>
        <v/>
      </c>
      <c r="D57" s="55" t="str">
        <f aca="false">IF($I57="","",INDEX('PO Log'!$X:$X,$I57))</f>
        <v/>
      </c>
      <c r="E57" s="45" t="str">
        <f aca="false">IF($I57="","",INDEX('PO Log'!$W:$W,$I57))</f>
        <v/>
      </c>
      <c r="F57" s="56" t="str">
        <f aca="false">IF($I57="","",INDEX('PO Log'!$O:$O,$I57))</f>
        <v/>
      </c>
      <c r="G57" s="45" t="str">
        <f aca="false">IF($I57="","",INDEX('PO Log'!$H:$H,$I57))</f>
        <v/>
      </c>
      <c r="H57" s="45" t="str">
        <f aca="false">IF($I57="","","Ref "&amp;INDEX('PO Log'!$B:$B,$I57))</f>
        <v/>
      </c>
      <c r="I57" s="45" t="str">
        <f aca="false">IFERROR(MATCH(52,'PO Log'!$Z$6:$Z$205,0)+5,"")</f>
        <v/>
      </c>
    </row>
    <row r="58" customFormat="false" ht="15" hidden="false" customHeight="false" outlineLevel="0" collapsed="false">
      <c r="A58" s="45" t="str">
        <f aca="false">IF($I58="","",INDEX('PO Log'!$T:$T,$I58))</f>
        <v/>
      </c>
      <c r="B58" s="45" t="str">
        <f aca="false">IF($I58="","",INDEX('PO Log'!$D:$D,$I58))</f>
        <v/>
      </c>
      <c r="C58" s="55" t="str">
        <f aca="false">IF($I58="","",INDEX('PO Log'!$U:$U,$I58))</f>
        <v/>
      </c>
      <c r="D58" s="55" t="str">
        <f aca="false">IF($I58="","",INDEX('PO Log'!$X:$X,$I58))</f>
        <v/>
      </c>
      <c r="E58" s="45" t="str">
        <f aca="false">IF($I58="","",INDEX('PO Log'!$W:$W,$I58))</f>
        <v/>
      </c>
      <c r="F58" s="56" t="str">
        <f aca="false">IF($I58="","",INDEX('PO Log'!$O:$O,$I58))</f>
        <v/>
      </c>
      <c r="G58" s="45" t="str">
        <f aca="false">IF($I58="","",INDEX('PO Log'!$H:$H,$I58))</f>
        <v/>
      </c>
      <c r="H58" s="45" t="str">
        <f aca="false">IF($I58="","","Ref "&amp;INDEX('PO Log'!$B:$B,$I58))</f>
        <v/>
      </c>
      <c r="I58" s="45" t="str">
        <f aca="false">IFERROR(MATCH(53,'PO Log'!$Z$6:$Z$205,0)+5,"")</f>
        <v/>
      </c>
    </row>
    <row r="59" customFormat="false" ht="15" hidden="false" customHeight="false" outlineLevel="0" collapsed="false">
      <c r="A59" s="45" t="str">
        <f aca="false">IF($I59="","",INDEX('PO Log'!$T:$T,$I59))</f>
        <v/>
      </c>
      <c r="B59" s="45" t="str">
        <f aca="false">IF($I59="","",INDEX('PO Log'!$D:$D,$I59))</f>
        <v/>
      </c>
      <c r="C59" s="55" t="str">
        <f aca="false">IF($I59="","",INDEX('PO Log'!$U:$U,$I59))</f>
        <v/>
      </c>
      <c r="D59" s="55" t="str">
        <f aca="false">IF($I59="","",INDEX('PO Log'!$X:$X,$I59))</f>
        <v/>
      </c>
      <c r="E59" s="45" t="str">
        <f aca="false">IF($I59="","",INDEX('PO Log'!$W:$W,$I59))</f>
        <v/>
      </c>
      <c r="F59" s="56" t="str">
        <f aca="false">IF($I59="","",INDEX('PO Log'!$O:$O,$I59))</f>
        <v/>
      </c>
      <c r="G59" s="45" t="str">
        <f aca="false">IF($I59="","",INDEX('PO Log'!$H:$H,$I59))</f>
        <v/>
      </c>
      <c r="H59" s="45" t="str">
        <f aca="false">IF($I59="","","Ref "&amp;INDEX('PO Log'!$B:$B,$I59))</f>
        <v/>
      </c>
      <c r="I59" s="45" t="str">
        <f aca="false">IFERROR(MATCH(54,'PO Log'!$Z$6:$Z$205,0)+5,"")</f>
        <v/>
      </c>
    </row>
    <row r="60" customFormat="false" ht="15" hidden="false" customHeight="false" outlineLevel="0" collapsed="false">
      <c r="A60" s="45" t="str">
        <f aca="false">IF($I60="","",INDEX('PO Log'!$T:$T,$I60))</f>
        <v/>
      </c>
      <c r="B60" s="45" t="str">
        <f aca="false">IF($I60="","",INDEX('PO Log'!$D:$D,$I60))</f>
        <v/>
      </c>
      <c r="C60" s="55" t="str">
        <f aca="false">IF($I60="","",INDEX('PO Log'!$U:$U,$I60))</f>
        <v/>
      </c>
      <c r="D60" s="55" t="str">
        <f aca="false">IF($I60="","",INDEX('PO Log'!$X:$X,$I60))</f>
        <v/>
      </c>
      <c r="E60" s="45" t="str">
        <f aca="false">IF($I60="","",INDEX('PO Log'!$W:$W,$I60))</f>
        <v/>
      </c>
      <c r="F60" s="56" t="str">
        <f aca="false">IF($I60="","",INDEX('PO Log'!$O:$O,$I60))</f>
        <v/>
      </c>
      <c r="G60" s="45" t="str">
        <f aca="false">IF($I60="","",INDEX('PO Log'!$H:$H,$I60))</f>
        <v/>
      </c>
      <c r="H60" s="45" t="str">
        <f aca="false">IF($I60="","","Ref "&amp;INDEX('PO Log'!$B:$B,$I60))</f>
        <v/>
      </c>
      <c r="I60" s="45" t="str">
        <f aca="false">IFERROR(MATCH(55,'PO Log'!$Z$6:$Z$205,0)+5,"")</f>
        <v/>
      </c>
    </row>
    <row r="61" customFormat="false" ht="15" hidden="false" customHeight="false" outlineLevel="0" collapsed="false">
      <c r="A61" s="45" t="str">
        <f aca="false">IF($I61="","",INDEX('PO Log'!$T:$T,$I61))</f>
        <v/>
      </c>
      <c r="B61" s="45" t="str">
        <f aca="false">IF($I61="","",INDEX('PO Log'!$D:$D,$I61))</f>
        <v/>
      </c>
      <c r="C61" s="55" t="str">
        <f aca="false">IF($I61="","",INDEX('PO Log'!$U:$U,$I61))</f>
        <v/>
      </c>
      <c r="D61" s="55" t="str">
        <f aca="false">IF($I61="","",INDEX('PO Log'!$X:$X,$I61))</f>
        <v/>
      </c>
      <c r="E61" s="45" t="str">
        <f aca="false">IF($I61="","",INDEX('PO Log'!$W:$W,$I61))</f>
        <v/>
      </c>
      <c r="F61" s="56" t="str">
        <f aca="false">IF($I61="","",INDEX('PO Log'!$O:$O,$I61))</f>
        <v/>
      </c>
      <c r="G61" s="45" t="str">
        <f aca="false">IF($I61="","",INDEX('PO Log'!$H:$H,$I61))</f>
        <v/>
      </c>
      <c r="H61" s="45" t="str">
        <f aca="false">IF($I61="","","Ref "&amp;INDEX('PO Log'!$B:$B,$I61))</f>
        <v/>
      </c>
      <c r="I61" s="45" t="str">
        <f aca="false">IFERROR(MATCH(56,'PO Log'!$Z$6:$Z$205,0)+5,"")</f>
        <v/>
      </c>
    </row>
    <row r="62" customFormat="false" ht="15" hidden="false" customHeight="false" outlineLevel="0" collapsed="false">
      <c r="A62" s="45" t="str">
        <f aca="false">IF($I62="","",INDEX('PO Log'!$T:$T,$I62))</f>
        <v/>
      </c>
      <c r="B62" s="45" t="str">
        <f aca="false">IF($I62="","",INDEX('PO Log'!$D:$D,$I62))</f>
        <v/>
      </c>
      <c r="C62" s="55" t="str">
        <f aca="false">IF($I62="","",INDEX('PO Log'!$U:$U,$I62))</f>
        <v/>
      </c>
      <c r="D62" s="55" t="str">
        <f aca="false">IF($I62="","",INDEX('PO Log'!$X:$X,$I62))</f>
        <v/>
      </c>
      <c r="E62" s="45" t="str">
        <f aca="false">IF($I62="","",INDEX('PO Log'!$W:$W,$I62))</f>
        <v/>
      </c>
      <c r="F62" s="56" t="str">
        <f aca="false">IF($I62="","",INDEX('PO Log'!$O:$O,$I62))</f>
        <v/>
      </c>
      <c r="G62" s="45" t="str">
        <f aca="false">IF($I62="","",INDEX('PO Log'!$H:$H,$I62))</f>
        <v/>
      </c>
      <c r="H62" s="45" t="str">
        <f aca="false">IF($I62="","","Ref "&amp;INDEX('PO Log'!$B:$B,$I62))</f>
        <v/>
      </c>
      <c r="I62" s="45" t="str">
        <f aca="false">IFERROR(MATCH(57,'PO Log'!$Z$6:$Z$205,0)+5,"")</f>
        <v/>
      </c>
    </row>
    <row r="63" customFormat="false" ht="15" hidden="false" customHeight="false" outlineLevel="0" collapsed="false">
      <c r="A63" s="45" t="str">
        <f aca="false">IF($I63="","",INDEX('PO Log'!$T:$T,$I63))</f>
        <v/>
      </c>
      <c r="B63" s="45" t="str">
        <f aca="false">IF($I63="","",INDEX('PO Log'!$D:$D,$I63))</f>
        <v/>
      </c>
      <c r="C63" s="55" t="str">
        <f aca="false">IF($I63="","",INDEX('PO Log'!$U:$U,$I63))</f>
        <v/>
      </c>
      <c r="D63" s="55" t="str">
        <f aca="false">IF($I63="","",INDEX('PO Log'!$X:$X,$I63))</f>
        <v/>
      </c>
      <c r="E63" s="45" t="str">
        <f aca="false">IF($I63="","",INDEX('PO Log'!$W:$W,$I63))</f>
        <v/>
      </c>
      <c r="F63" s="56" t="str">
        <f aca="false">IF($I63="","",INDEX('PO Log'!$O:$O,$I63))</f>
        <v/>
      </c>
      <c r="G63" s="45" t="str">
        <f aca="false">IF($I63="","",INDEX('PO Log'!$H:$H,$I63))</f>
        <v/>
      </c>
      <c r="H63" s="45" t="str">
        <f aca="false">IF($I63="","","Ref "&amp;INDEX('PO Log'!$B:$B,$I63))</f>
        <v/>
      </c>
      <c r="I63" s="45" t="str">
        <f aca="false">IFERROR(MATCH(58,'PO Log'!$Z$6:$Z$205,0)+5,"")</f>
        <v/>
      </c>
    </row>
    <row r="64" customFormat="false" ht="15" hidden="false" customHeight="false" outlineLevel="0" collapsed="false">
      <c r="A64" s="45" t="str">
        <f aca="false">IF($I64="","",INDEX('PO Log'!$T:$T,$I64))</f>
        <v/>
      </c>
      <c r="B64" s="45" t="str">
        <f aca="false">IF($I64="","",INDEX('PO Log'!$D:$D,$I64))</f>
        <v/>
      </c>
      <c r="C64" s="55" t="str">
        <f aca="false">IF($I64="","",INDEX('PO Log'!$U:$U,$I64))</f>
        <v/>
      </c>
      <c r="D64" s="55" t="str">
        <f aca="false">IF($I64="","",INDEX('PO Log'!$X:$X,$I64))</f>
        <v/>
      </c>
      <c r="E64" s="45" t="str">
        <f aca="false">IF($I64="","",INDEX('PO Log'!$W:$W,$I64))</f>
        <v/>
      </c>
      <c r="F64" s="56" t="str">
        <f aca="false">IF($I64="","",INDEX('PO Log'!$O:$O,$I64))</f>
        <v/>
      </c>
      <c r="G64" s="45" t="str">
        <f aca="false">IF($I64="","",INDEX('PO Log'!$H:$H,$I64))</f>
        <v/>
      </c>
      <c r="H64" s="45" t="str">
        <f aca="false">IF($I64="","","Ref "&amp;INDEX('PO Log'!$B:$B,$I64))</f>
        <v/>
      </c>
      <c r="I64" s="45" t="str">
        <f aca="false">IFERROR(MATCH(59,'PO Log'!$Z$6:$Z$205,0)+5,"")</f>
        <v/>
      </c>
    </row>
    <row r="65" customFormat="false" ht="15" hidden="false" customHeight="false" outlineLevel="0" collapsed="false">
      <c r="A65" s="45" t="str">
        <f aca="false">IF($I65="","",INDEX('PO Log'!$T:$T,$I65))</f>
        <v/>
      </c>
      <c r="B65" s="45" t="str">
        <f aca="false">IF($I65="","",INDEX('PO Log'!$D:$D,$I65))</f>
        <v/>
      </c>
      <c r="C65" s="55" t="str">
        <f aca="false">IF($I65="","",INDEX('PO Log'!$U:$U,$I65))</f>
        <v/>
      </c>
      <c r="D65" s="55" t="str">
        <f aca="false">IF($I65="","",INDEX('PO Log'!$X:$X,$I65))</f>
        <v/>
      </c>
      <c r="E65" s="45" t="str">
        <f aca="false">IF($I65="","",INDEX('PO Log'!$W:$W,$I65))</f>
        <v/>
      </c>
      <c r="F65" s="56" t="str">
        <f aca="false">IF($I65="","",INDEX('PO Log'!$O:$O,$I65))</f>
        <v/>
      </c>
      <c r="G65" s="45" t="str">
        <f aca="false">IF($I65="","",INDEX('PO Log'!$H:$H,$I65))</f>
        <v/>
      </c>
      <c r="H65" s="45" t="str">
        <f aca="false">IF($I65="","","Ref "&amp;INDEX('PO Log'!$B:$B,$I65))</f>
        <v/>
      </c>
      <c r="I65" s="45" t="str">
        <f aca="false">IFERROR(MATCH(60,'PO Log'!$Z$6:$Z$205,0)+5,"")</f>
        <v/>
      </c>
    </row>
    <row r="66" customFormat="false" ht="15" hidden="false" customHeight="false" outlineLevel="0" collapsed="false">
      <c r="A66" s="45" t="str">
        <f aca="false">IF($I66="","",INDEX('PO Log'!$T:$T,$I66))</f>
        <v/>
      </c>
      <c r="B66" s="45" t="str">
        <f aca="false">IF($I66="","",INDEX('PO Log'!$D:$D,$I66))</f>
        <v/>
      </c>
      <c r="C66" s="55" t="str">
        <f aca="false">IF($I66="","",INDEX('PO Log'!$U:$U,$I66))</f>
        <v/>
      </c>
      <c r="D66" s="55" t="str">
        <f aca="false">IF($I66="","",INDEX('PO Log'!$X:$X,$I66))</f>
        <v/>
      </c>
      <c r="E66" s="45" t="str">
        <f aca="false">IF($I66="","",INDEX('PO Log'!$W:$W,$I66))</f>
        <v/>
      </c>
      <c r="F66" s="56" t="str">
        <f aca="false">IF($I66="","",INDEX('PO Log'!$O:$O,$I66))</f>
        <v/>
      </c>
      <c r="G66" s="45" t="str">
        <f aca="false">IF($I66="","",INDEX('PO Log'!$H:$H,$I66))</f>
        <v/>
      </c>
      <c r="H66" s="45" t="str">
        <f aca="false">IF($I66="","","Ref "&amp;INDEX('PO Log'!$B:$B,$I66))</f>
        <v/>
      </c>
      <c r="I66" s="45" t="str">
        <f aca="false">IFERROR(MATCH(61,'PO Log'!$Z$6:$Z$205,0)+5,"")</f>
        <v/>
      </c>
    </row>
    <row r="67" customFormat="false" ht="15" hidden="false" customHeight="false" outlineLevel="0" collapsed="false">
      <c r="A67" s="45" t="str">
        <f aca="false">IF($I67="","",INDEX('PO Log'!$T:$T,$I67))</f>
        <v/>
      </c>
      <c r="B67" s="45" t="str">
        <f aca="false">IF($I67="","",INDEX('PO Log'!$D:$D,$I67))</f>
        <v/>
      </c>
      <c r="C67" s="55" t="str">
        <f aca="false">IF($I67="","",INDEX('PO Log'!$U:$U,$I67))</f>
        <v/>
      </c>
      <c r="D67" s="55" t="str">
        <f aca="false">IF($I67="","",INDEX('PO Log'!$X:$X,$I67))</f>
        <v/>
      </c>
      <c r="E67" s="45" t="str">
        <f aca="false">IF($I67="","",INDEX('PO Log'!$W:$W,$I67))</f>
        <v/>
      </c>
      <c r="F67" s="56" t="str">
        <f aca="false">IF($I67="","",INDEX('PO Log'!$O:$O,$I67))</f>
        <v/>
      </c>
      <c r="G67" s="45" t="str">
        <f aca="false">IF($I67="","",INDEX('PO Log'!$H:$H,$I67))</f>
        <v/>
      </c>
      <c r="H67" s="45" t="str">
        <f aca="false">IF($I67="","","Ref "&amp;INDEX('PO Log'!$B:$B,$I67))</f>
        <v/>
      </c>
      <c r="I67" s="45" t="str">
        <f aca="false">IFERROR(MATCH(62,'PO Log'!$Z$6:$Z$205,0)+5,"")</f>
        <v/>
      </c>
    </row>
    <row r="68" customFormat="false" ht="15" hidden="false" customHeight="false" outlineLevel="0" collapsed="false">
      <c r="A68" s="45" t="str">
        <f aca="false">IF($I68="","",INDEX('PO Log'!$T:$T,$I68))</f>
        <v/>
      </c>
      <c r="B68" s="45" t="str">
        <f aca="false">IF($I68="","",INDEX('PO Log'!$D:$D,$I68))</f>
        <v/>
      </c>
      <c r="C68" s="55" t="str">
        <f aca="false">IF($I68="","",INDEX('PO Log'!$U:$U,$I68))</f>
        <v/>
      </c>
      <c r="D68" s="55" t="str">
        <f aca="false">IF($I68="","",INDEX('PO Log'!$X:$X,$I68))</f>
        <v/>
      </c>
      <c r="E68" s="45" t="str">
        <f aca="false">IF($I68="","",INDEX('PO Log'!$W:$W,$I68))</f>
        <v/>
      </c>
      <c r="F68" s="56" t="str">
        <f aca="false">IF($I68="","",INDEX('PO Log'!$O:$O,$I68))</f>
        <v/>
      </c>
      <c r="G68" s="45" t="str">
        <f aca="false">IF($I68="","",INDEX('PO Log'!$H:$H,$I68))</f>
        <v/>
      </c>
      <c r="H68" s="45" t="str">
        <f aca="false">IF($I68="","","Ref "&amp;INDEX('PO Log'!$B:$B,$I68))</f>
        <v/>
      </c>
      <c r="I68" s="45" t="str">
        <f aca="false">IFERROR(MATCH(63,'PO Log'!$Z$6:$Z$205,0)+5,"")</f>
        <v/>
      </c>
    </row>
    <row r="69" customFormat="false" ht="15" hidden="false" customHeight="false" outlineLevel="0" collapsed="false">
      <c r="A69" s="45" t="str">
        <f aca="false">IF($I69="","",INDEX('PO Log'!$T:$T,$I69))</f>
        <v/>
      </c>
      <c r="B69" s="45" t="str">
        <f aca="false">IF($I69="","",INDEX('PO Log'!$D:$D,$I69))</f>
        <v/>
      </c>
      <c r="C69" s="55" t="str">
        <f aca="false">IF($I69="","",INDEX('PO Log'!$U:$U,$I69))</f>
        <v/>
      </c>
      <c r="D69" s="55" t="str">
        <f aca="false">IF($I69="","",INDEX('PO Log'!$X:$X,$I69))</f>
        <v/>
      </c>
      <c r="E69" s="45" t="str">
        <f aca="false">IF($I69="","",INDEX('PO Log'!$W:$W,$I69))</f>
        <v/>
      </c>
      <c r="F69" s="56" t="str">
        <f aca="false">IF($I69="","",INDEX('PO Log'!$O:$O,$I69))</f>
        <v/>
      </c>
      <c r="G69" s="45" t="str">
        <f aca="false">IF($I69="","",INDEX('PO Log'!$H:$H,$I69))</f>
        <v/>
      </c>
      <c r="H69" s="45" t="str">
        <f aca="false">IF($I69="","","Ref "&amp;INDEX('PO Log'!$B:$B,$I69))</f>
        <v/>
      </c>
      <c r="I69" s="45" t="str">
        <f aca="false">IFERROR(MATCH(64,'PO Log'!$Z$6:$Z$205,0)+5,"")</f>
        <v/>
      </c>
    </row>
    <row r="70" customFormat="false" ht="15" hidden="false" customHeight="false" outlineLevel="0" collapsed="false">
      <c r="A70" s="45" t="str">
        <f aca="false">IF($I70="","",INDEX('PO Log'!$T:$T,$I70))</f>
        <v/>
      </c>
      <c r="B70" s="45" t="str">
        <f aca="false">IF($I70="","",INDEX('PO Log'!$D:$D,$I70))</f>
        <v/>
      </c>
      <c r="C70" s="55" t="str">
        <f aca="false">IF($I70="","",INDEX('PO Log'!$U:$U,$I70))</f>
        <v/>
      </c>
      <c r="D70" s="55" t="str">
        <f aca="false">IF($I70="","",INDEX('PO Log'!$X:$X,$I70))</f>
        <v/>
      </c>
      <c r="E70" s="45" t="str">
        <f aca="false">IF($I70="","",INDEX('PO Log'!$W:$W,$I70))</f>
        <v/>
      </c>
      <c r="F70" s="56" t="str">
        <f aca="false">IF($I70="","",INDEX('PO Log'!$O:$O,$I70))</f>
        <v/>
      </c>
      <c r="G70" s="45" t="str">
        <f aca="false">IF($I70="","",INDEX('PO Log'!$H:$H,$I70))</f>
        <v/>
      </c>
      <c r="H70" s="45" t="str">
        <f aca="false">IF($I70="","","Ref "&amp;INDEX('PO Log'!$B:$B,$I70))</f>
        <v/>
      </c>
      <c r="I70" s="45" t="str">
        <f aca="false">IFERROR(MATCH(65,'PO Log'!$Z$6:$Z$205,0)+5,"")</f>
        <v/>
      </c>
    </row>
    <row r="71" customFormat="false" ht="15" hidden="false" customHeight="false" outlineLevel="0" collapsed="false">
      <c r="A71" s="45" t="str">
        <f aca="false">IF($I71="","",INDEX('PO Log'!$T:$T,$I71))</f>
        <v/>
      </c>
      <c r="B71" s="45" t="str">
        <f aca="false">IF($I71="","",INDEX('PO Log'!$D:$D,$I71))</f>
        <v/>
      </c>
      <c r="C71" s="55" t="str">
        <f aca="false">IF($I71="","",INDEX('PO Log'!$U:$U,$I71))</f>
        <v/>
      </c>
      <c r="D71" s="55" t="str">
        <f aca="false">IF($I71="","",INDEX('PO Log'!$X:$X,$I71))</f>
        <v/>
      </c>
      <c r="E71" s="45" t="str">
        <f aca="false">IF($I71="","",INDEX('PO Log'!$W:$W,$I71))</f>
        <v/>
      </c>
      <c r="F71" s="56" t="str">
        <f aca="false">IF($I71="","",INDEX('PO Log'!$O:$O,$I71))</f>
        <v/>
      </c>
      <c r="G71" s="45" t="str">
        <f aca="false">IF($I71="","",INDEX('PO Log'!$H:$H,$I71))</f>
        <v/>
      </c>
      <c r="H71" s="45" t="str">
        <f aca="false">IF($I71="","","Ref "&amp;INDEX('PO Log'!$B:$B,$I71))</f>
        <v/>
      </c>
      <c r="I71" s="45" t="str">
        <f aca="false">IFERROR(MATCH(66,'PO Log'!$Z$6:$Z$205,0)+5,"")</f>
        <v/>
      </c>
    </row>
    <row r="72" customFormat="false" ht="15" hidden="false" customHeight="false" outlineLevel="0" collapsed="false">
      <c r="A72" s="45" t="str">
        <f aca="false">IF($I72="","",INDEX('PO Log'!$T:$T,$I72))</f>
        <v/>
      </c>
      <c r="B72" s="45" t="str">
        <f aca="false">IF($I72="","",INDEX('PO Log'!$D:$D,$I72))</f>
        <v/>
      </c>
      <c r="C72" s="55" t="str">
        <f aca="false">IF($I72="","",INDEX('PO Log'!$U:$U,$I72))</f>
        <v/>
      </c>
      <c r="D72" s="55" t="str">
        <f aca="false">IF($I72="","",INDEX('PO Log'!$X:$X,$I72))</f>
        <v/>
      </c>
      <c r="E72" s="45" t="str">
        <f aca="false">IF($I72="","",INDEX('PO Log'!$W:$W,$I72))</f>
        <v/>
      </c>
      <c r="F72" s="56" t="str">
        <f aca="false">IF($I72="","",INDEX('PO Log'!$O:$O,$I72))</f>
        <v/>
      </c>
      <c r="G72" s="45" t="str">
        <f aca="false">IF($I72="","",INDEX('PO Log'!$H:$H,$I72))</f>
        <v/>
      </c>
      <c r="H72" s="45" t="str">
        <f aca="false">IF($I72="","","Ref "&amp;INDEX('PO Log'!$B:$B,$I72))</f>
        <v/>
      </c>
      <c r="I72" s="45" t="str">
        <f aca="false">IFERROR(MATCH(67,'PO Log'!$Z$6:$Z$205,0)+5,"")</f>
        <v/>
      </c>
    </row>
    <row r="73" customFormat="false" ht="15" hidden="false" customHeight="false" outlineLevel="0" collapsed="false">
      <c r="A73" s="45" t="str">
        <f aca="false">IF($I73="","",INDEX('PO Log'!$T:$T,$I73))</f>
        <v/>
      </c>
      <c r="B73" s="45" t="str">
        <f aca="false">IF($I73="","",INDEX('PO Log'!$D:$D,$I73))</f>
        <v/>
      </c>
      <c r="C73" s="55" t="str">
        <f aca="false">IF($I73="","",INDEX('PO Log'!$U:$U,$I73))</f>
        <v/>
      </c>
      <c r="D73" s="55" t="str">
        <f aca="false">IF($I73="","",INDEX('PO Log'!$X:$X,$I73))</f>
        <v/>
      </c>
      <c r="E73" s="45" t="str">
        <f aca="false">IF($I73="","",INDEX('PO Log'!$W:$W,$I73))</f>
        <v/>
      </c>
      <c r="F73" s="56" t="str">
        <f aca="false">IF($I73="","",INDEX('PO Log'!$O:$O,$I73))</f>
        <v/>
      </c>
      <c r="G73" s="45" t="str">
        <f aca="false">IF($I73="","",INDEX('PO Log'!$H:$H,$I73))</f>
        <v/>
      </c>
      <c r="H73" s="45" t="str">
        <f aca="false">IF($I73="","","Ref "&amp;INDEX('PO Log'!$B:$B,$I73))</f>
        <v/>
      </c>
      <c r="I73" s="45" t="str">
        <f aca="false">IFERROR(MATCH(68,'PO Log'!$Z$6:$Z$205,0)+5,"")</f>
        <v/>
      </c>
    </row>
    <row r="74" customFormat="false" ht="15" hidden="false" customHeight="false" outlineLevel="0" collapsed="false">
      <c r="A74" s="45" t="str">
        <f aca="false">IF($I74="","",INDEX('PO Log'!$T:$T,$I74))</f>
        <v/>
      </c>
      <c r="B74" s="45" t="str">
        <f aca="false">IF($I74="","",INDEX('PO Log'!$D:$D,$I74))</f>
        <v/>
      </c>
      <c r="C74" s="55" t="str">
        <f aca="false">IF($I74="","",INDEX('PO Log'!$U:$U,$I74))</f>
        <v/>
      </c>
      <c r="D74" s="55" t="str">
        <f aca="false">IF($I74="","",INDEX('PO Log'!$X:$X,$I74))</f>
        <v/>
      </c>
      <c r="E74" s="45" t="str">
        <f aca="false">IF($I74="","",INDEX('PO Log'!$W:$W,$I74))</f>
        <v/>
      </c>
      <c r="F74" s="56" t="str">
        <f aca="false">IF($I74="","",INDEX('PO Log'!$O:$O,$I74))</f>
        <v/>
      </c>
      <c r="G74" s="45" t="str">
        <f aca="false">IF($I74="","",INDEX('PO Log'!$H:$H,$I74))</f>
        <v/>
      </c>
      <c r="H74" s="45" t="str">
        <f aca="false">IF($I74="","","Ref "&amp;INDEX('PO Log'!$B:$B,$I74))</f>
        <v/>
      </c>
      <c r="I74" s="45" t="str">
        <f aca="false">IFERROR(MATCH(69,'PO Log'!$Z$6:$Z$205,0)+5,"")</f>
        <v/>
      </c>
    </row>
    <row r="75" customFormat="false" ht="15" hidden="false" customHeight="false" outlineLevel="0" collapsed="false">
      <c r="A75" s="45" t="str">
        <f aca="false">IF($I75="","",INDEX('PO Log'!$T:$T,$I75))</f>
        <v/>
      </c>
      <c r="B75" s="45" t="str">
        <f aca="false">IF($I75="","",INDEX('PO Log'!$D:$D,$I75))</f>
        <v/>
      </c>
      <c r="C75" s="55" t="str">
        <f aca="false">IF($I75="","",INDEX('PO Log'!$U:$U,$I75))</f>
        <v/>
      </c>
      <c r="D75" s="55" t="str">
        <f aca="false">IF($I75="","",INDEX('PO Log'!$X:$X,$I75))</f>
        <v/>
      </c>
      <c r="E75" s="45" t="str">
        <f aca="false">IF($I75="","",INDEX('PO Log'!$W:$W,$I75))</f>
        <v/>
      </c>
      <c r="F75" s="56" t="str">
        <f aca="false">IF($I75="","",INDEX('PO Log'!$O:$O,$I75))</f>
        <v/>
      </c>
      <c r="G75" s="45" t="str">
        <f aca="false">IF($I75="","",INDEX('PO Log'!$H:$H,$I75))</f>
        <v/>
      </c>
      <c r="H75" s="45" t="str">
        <f aca="false">IF($I75="","","Ref "&amp;INDEX('PO Log'!$B:$B,$I75))</f>
        <v/>
      </c>
      <c r="I75" s="45" t="str">
        <f aca="false">IFERROR(MATCH(70,'PO Log'!$Z$6:$Z$205,0)+5,"")</f>
        <v/>
      </c>
    </row>
    <row r="76" customFormat="false" ht="15" hidden="false" customHeight="false" outlineLevel="0" collapsed="false">
      <c r="A76" s="45" t="str">
        <f aca="false">IF($I76="","",INDEX('PO Log'!$T:$T,$I76))</f>
        <v/>
      </c>
      <c r="B76" s="45" t="str">
        <f aca="false">IF($I76="","",INDEX('PO Log'!$D:$D,$I76))</f>
        <v/>
      </c>
      <c r="C76" s="55" t="str">
        <f aca="false">IF($I76="","",INDEX('PO Log'!$U:$U,$I76))</f>
        <v/>
      </c>
      <c r="D76" s="55" t="str">
        <f aca="false">IF($I76="","",INDEX('PO Log'!$X:$X,$I76))</f>
        <v/>
      </c>
      <c r="E76" s="45" t="str">
        <f aca="false">IF($I76="","",INDEX('PO Log'!$W:$W,$I76))</f>
        <v/>
      </c>
      <c r="F76" s="56" t="str">
        <f aca="false">IF($I76="","",INDEX('PO Log'!$O:$O,$I76))</f>
        <v/>
      </c>
      <c r="G76" s="45" t="str">
        <f aca="false">IF($I76="","",INDEX('PO Log'!$H:$H,$I76))</f>
        <v/>
      </c>
      <c r="H76" s="45" t="str">
        <f aca="false">IF($I76="","","Ref "&amp;INDEX('PO Log'!$B:$B,$I76))</f>
        <v/>
      </c>
      <c r="I76" s="45" t="str">
        <f aca="false">IFERROR(MATCH(71,'PO Log'!$Z$6:$Z$205,0)+5,"")</f>
        <v/>
      </c>
    </row>
    <row r="77" customFormat="false" ht="15" hidden="false" customHeight="false" outlineLevel="0" collapsed="false">
      <c r="A77" s="45" t="str">
        <f aca="false">IF($I77="","",INDEX('PO Log'!$T:$T,$I77))</f>
        <v/>
      </c>
      <c r="B77" s="45" t="str">
        <f aca="false">IF($I77="","",INDEX('PO Log'!$D:$D,$I77))</f>
        <v/>
      </c>
      <c r="C77" s="55" t="str">
        <f aca="false">IF($I77="","",INDEX('PO Log'!$U:$U,$I77))</f>
        <v/>
      </c>
      <c r="D77" s="55" t="str">
        <f aca="false">IF($I77="","",INDEX('PO Log'!$X:$X,$I77))</f>
        <v/>
      </c>
      <c r="E77" s="45" t="str">
        <f aca="false">IF($I77="","",INDEX('PO Log'!$W:$W,$I77))</f>
        <v/>
      </c>
      <c r="F77" s="56" t="str">
        <f aca="false">IF($I77="","",INDEX('PO Log'!$O:$O,$I77))</f>
        <v/>
      </c>
      <c r="G77" s="45" t="str">
        <f aca="false">IF($I77="","",INDEX('PO Log'!$H:$H,$I77))</f>
        <v/>
      </c>
      <c r="H77" s="45" t="str">
        <f aca="false">IF($I77="","","Ref "&amp;INDEX('PO Log'!$B:$B,$I77))</f>
        <v/>
      </c>
      <c r="I77" s="45" t="str">
        <f aca="false">IFERROR(MATCH(72,'PO Log'!$Z$6:$Z$205,0)+5,"")</f>
        <v/>
      </c>
    </row>
    <row r="78" customFormat="false" ht="15" hidden="false" customHeight="false" outlineLevel="0" collapsed="false">
      <c r="A78" s="45" t="str">
        <f aca="false">IF($I78="","",INDEX('PO Log'!$T:$T,$I78))</f>
        <v/>
      </c>
      <c r="B78" s="45" t="str">
        <f aca="false">IF($I78="","",INDEX('PO Log'!$D:$D,$I78))</f>
        <v/>
      </c>
      <c r="C78" s="55" t="str">
        <f aca="false">IF($I78="","",INDEX('PO Log'!$U:$U,$I78))</f>
        <v/>
      </c>
      <c r="D78" s="55" t="str">
        <f aca="false">IF($I78="","",INDEX('PO Log'!$X:$X,$I78))</f>
        <v/>
      </c>
      <c r="E78" s="45" t="str">
        <f aca="false">IF($I78="","",INDEX('PO Log'!$W:$W,$I78))</f>
        <v/>
      </c>
      <c r="F78" s="56" t="str">
        <f aca="false">IF($I78="","",INDEX('PO Log'!$O:$O,$I78))</f>
        <v/>
      </c>
      <c r="G78" s="45" t="str">
        <f aca="false">IF($I78="","",INDEX('PO Log'!$H:$H,$I78))</f>
        <v/>
      </c>
      <c r="H78" s="45" t="str">
        <f aca="false">IF($I78="","","Ref "&amp;INDEX('PO Log'!$B:$B,$I78))</f>
        <v/>
      </c>
      <c r="I78" s="45" t="str">
        <f aca="false">IFERROR(MATCH(73,'PO Log'!$Z$6:$Z$205,0)+5,"")</f>
        <v/>
      </c>
    </row>
    <row r="79" customFormat="false" ht="15" hidden="false" customHeight="false" outlineLevel="0" collapsed="false">
      <c r="A79" s="45" t="str">
        <f aca="false">IF($I79="","",INDEX('PO Log'!$T:$T,$I79))</f>
        <v/>
      </c>
      <c r="B79" s="45" t="str">
        <f aca="false">IF($I79="","",INDEX('PO Log'!$D:$D,$I79))</f>
        <v/>
      </c>
      <c r="C79" s="55" t="str">
        <f aca="false">IF($I79="","",INDEX('PO Log'!$U:$U,$I79))</f>
        <v/>
      </c>
      <c r="D79" s="55" t="str">
        <f aca="false">IF($I79="","",INDEX('PO Log'!$X:$X,$I79))</f>
        <v/>
      </c>
      <c r="E79" s="45" t="str">
        <f aca="false">IF($I79="","",INDEX('PO Log'!$W:$W,$I79))</f>
        <v/>
      </c>
      <c r="F79" s="56" t="str">
        <f aca="false">IF($I79="","",INDEX('PO Log'!$O:$O,$I79))</f>
        <v/>
      </c>
      <c r="G79" s="45" t="str">
        <f aca="false">IF($I79="","",INDEX('PO Log'!$H:$H,$I79))</f>
        <v/>
      </c>
      <c r="H79" s="45" t="str">
        <f aca="false">IF($I79="","","Ref "&amp;INDEX('PO Log'!$B:$B,$I79))</f>
        <v/>
      </c>
      <c r="I79" s="45" t="str">
        <f aca="false">IFERROR(MATCH(74,'PO Log'!$Z$6:$Z$205,0)+5,"")</f>
        <v/>
      </c>
    </row>
    <row r="80" customFormat="false" ht="15" hidden="false" customHeight="false" outlineLevel="0" collapsed="false">
      <c r="A80" s="45" t="str">
        <f aca="false">IF($I80="","",INDEX('PO Log'!$T:$T,$I80))</f>
        <v/>
      </c>
      <c r="B80" s="45" t="str">
        <f aca="false">IF($I80="","",INDEX('PO Log'!$D:$D,$I80))</f>
        <v/>
      </c>
      <c r="C80" s="55" t="str">
        <f aca="false">IF($I80="","",INDEX('PO Log'!$U:$U,$I80))</f>
        <v/>
      </c>
      <c r="D80" s="55" t="str">
        <f aca="false">IF($I80="","",INDEX('PO Log'!$X:$X,$I80))</f>
        <v/>
      </c>
      <c r="E80" s="45" t="str">
        <f aca="false">IF($I80="","",INDEX('PO Log'!$W:$W,$I80))</f>
        <v/>
      </c>
      <c r="F80" s="56" t="str">
        <f aca="false">IF($I80="","",INDEX('PO Log'!$O:$O,$I80))</f>
        <v/>
      </c>
      <c r="G80" s="45" t="str">
        <f aca="false">IF($I80="","",INDEX('PO Log'!$H:$H,$I80))</f>
        <v/>
      </c>
      <c r="H80" s="45" t="str">
        <f aca="false">IF($I80="","","Ref "&amp;INDEX('PO Log'!$B:$B,$I80))</f>
        <v/>
      </c>
      <c r="I80" s="45" t="str">
        <f aca="false">IFERROR(MATCH(75,'PO Log'!$Z$6:$Z$205,0)+5,"")</f>
        <v/>
      </c>
    </row>
    <row r="81" customFormat="false" ht="15" hidden="false" customHeight="false" outlineLevel="0" collapsed="false">
      <c r="A81" s="45" t="str">
        <f aca="false">IF($I81="","",INDEX('PO Log'!$T:$T,$I81))</f>
        <v/>
      </c>
      <c r="B81" s="45" t="str">
        <f aca="false">IF($I81="","",INDEX('PO Log'!$D:$D,$I81))</f>
        <v/>
      </c>
      <c r="C81" s="55" t="str">
        <f aca="false">IF($I81="","",INDEX('PO Log'!$U:$U,$I81))</f>
        <v/>
      </c>
      <c r="D81" s="55" t="str">
        <f aca="false">IF($I81="","",INDEX('PO Log'!$X:$X,$I81))</f>
        <v/>
      </c>
      <c r="E81" s="45" t="str">
        <f aca="false">IF($I81="","",INDEX('PO Log'!$W:$W,$I81))</f>
        <v/>
      </c>
      <c r="F81" s="56" t="str">
        <f aca="false">IF($I81="","",INDEX('PO Log'!$O:$O,$I81))</f>
        <v/>
      </c>
      <c r="G81" s="45" t="str">
        <f aca="false">IF($I81="","",INDEX('PO Log'!$H:$H,$I81))</f>
        <v/>
      </c>
      <c r="H81" s="45" t="str">
        <f aca="false">IF($I81="","","Ref "&amp;INDEX('PO Log'!$B:$B,$I81))</f>
        <v/>
      </c>
      <c r="I81" s="45" t="str">
        <f aca="false">IFERROR(MATCH(76,'PO Log'!$Z$6:$Z$205,0)+5,"")</f>
        <v/>
      </c>
    </row>
    <row r="82" customFormat="false" ht="15" hidden="false" customHeight="false" outlineLevel="0" collapsed="false">
      <c r="A82" s="45" t="str">
        <f aca="false">IF($I82="","",INDEX('PO Log'!$T:$T,$I82))</f>
        <v/>
      </c>
      <c r="B82" s="45" t="str">
        <f aca="false">IF($I82="","",INDEX('PO Log'!$D:$D,$I82))</f>
        <v/>
      </c>
      <c r="C82" s="55" t="str">
        <f aca="false">IF($I82="","",INDEX('PO Log'!$U:$U,$I82))</f>
        <v/>
      </c>
      <c r="D82" s="55" t="str">
        <f aca="false">IF($I82="","",INDEX('PO Log'!$X:$X,$I82))</f>
        <v/>
      </c>
      <c r="E82" s="45" t="str">
        <f aca="false">IF($I82="","",INDEX('PO Log'!$W:$W,$I82))</f>
        <v/>
      </c>
      <c r="F82" s="56" t="str">
        <f aca="false">IF($I82="","",INDEX('PO Log'!$O:$O,$I82))</f>
        <v/>
      </c>
      <c r="G82" s="45" t="str">
        <f aca="false">IF($I82="","",INDEX('PO Log'!$H:$H,$I82))</f>
        <v/>
      </c>
      <c r="H82" s="45" t="str">
        <f aca="false">IF($I82="","","Ref "&amp;INDEX('PO Log'!$B:$B,$I82))</f>
        <v/>
      </c>
      <c r="I82" s="45" t="str">
        <f aca="false">IFERROR(MATCH(77,'PO Log'!$Z$6:$Z$205,0)+5,"")</f>
        <v/>
      </c>
    </row>
    <row r="83" customFormat="false" ht="15" hidden="false" customHeight="false" outlineLevel="0" collapsed="false">
      <c r="A83" s="45" t="str">
        <f aca="false">IF($I83="","",INDEX('PO Log'!$T:$T,$I83))</f>
        <v/>
      </c>
      <c r="B83" s="45" t="str">
        <f aca="false">IF($I83="","",INDEX('PO Log'!$D:$D,$I83))</f>
        <v/>
      </c>
      <c r="C83" s="55" t="str">
        <f aca="false">IF($I83="","",INDEX('PO Log'!$U:$U,$I83))</f>
        <v/>
      </c>
      <c r="D83" s="55" t="str">
        <f aca="false">IF($I83="","",INDEX('PO Log'!$X:$X,$I83))</f>
        <v/>
      </c>
      <c r="E83" s="45" t="str">
        <f aca="false">IF($I83="","",INDEX('PO Log'!$W:$W,$I83))</f>
        <v/>
      </c>
      <c r="F83" s="56" t="str">
        <f aca="false">IF($I83="","",INDEX('PO Log'!$O:$O,$I83))</f>
        <v/>
      </c>
      <c r="G83" s="45" t="str">
        <f aca="false">IF($I83="","",INDEX('PO Log'!$H:$H,$I83))</f>
        <v/>
      </c>
      <c r="H83" s="45" t="str">
        <f aca="false">IF($I83="","","Ref "&amp;INDEX('PO Log'!$B:$B,$I83))</f>
        <v/>
      </c>
      <c r="I83" s="45" t="str">
        <f aca="false">IFERROR(MATCH(78,'PO Log'!$Z$6:$Z$205,0)+5,"")</f>
        <v/>
      </c>
    </row>
    <row r="84" customFormat="false" ht="15" hidden="false" customHeight="false" outlineLevel="0" collapsed="false">
      <c r="A84" s="45" t="str">
        <f aca="false">IF($I84="","",INDEX('PO Log'!$T:$T,$I84))</f>
        <v/>
      </c>
      <c r="B84" s="45" t="str">
        <f aca="false">IF($I84="","",INDEX('PO Log'!$D:$D,$I84))</f>
        <v/>
      </c>
      <c r="C84" s="55" t="str">
        <f aca="false">IF($I84="","",INDEX('PO Log'!$U:$U,$I84))</f>
        <v/>
      </c>
      <c r="D84" s="55" t="str">
        <f aca="false">IF($I84="","",INDEX('PO Log'!$X:$X,$I84))</f>
        <v/>
      </c>
      <c r="E84" s="45" t="str">
        <f aca="false">IF($I84="","",INDEX('PO Log'!$W:$W,$I84))</f>
        <v/>
      </c>
      <c r="F84" s="56" t="str">
        <f aca="false">IF($I84="","",INDEX('PO Log'!$O:$O,$I84))</f>
        <v/>
      </c>
      <c r="G84" s="45" t="str">
        <f aca="false">IF($I84="","",INDEX('PO Log'!$H:$H,$I84))</f>
        <v/>
      </c>
      <c r="H84" s="45" t="str">
        <f aca="false">IF($I84="","","Ref "&amp;INDEX('PO Log'!$B:$B,$I84))</f>
        <v/>
      </c>
      <c r="I84" s="45" t="str">
        <f aca="false">IFERROR(MATCH(79,'PO Log'!$Z$6:$Z$205,0)+5,"")</f>
        <v/>
      </c>
    </row>
    <row r="85" customFormat="false" ht="15" hidden="false" customHeight="false" outlineLevel="0" collapsed="false">
      <c r="A85" s="45" t="str">
        <f aca="false">IF($I85="","",INDEX('PO Log'!$T:$T,$I85))</f>
        <v/>
      </c>
      <c r="B85" s="45" t="str">
        <f aca="false">IF($I85="","",INDEX('PO Log'!$D:$D,$I85))</f>
        <v/>
      </c>
      <c r="C85" s="55" t="str">
        <f aca="false">IF($I85="","",INDEX('PO Log'!$U:$U,$I85))</f>
        <v/>
      </c>
      <c r="D85" s="55" t="str">
        <f aca="false">IF($I85="","",INDEX('PO Log'!$X:$X,$I85))</f>
        <v/>
      </c>
      <c r="E85" s="45" t="str">
        <f aca="false">IF($I85="","",INDEX('PO Log'!$W:$W,$I85))</f>
        <v/>
      </c>
      <c r="F85" s="56" t="str">
        <f aca="false">IF($I85="","",INDEX('PO Log'!$O:$O,$I85))</f>
        <v/>
      </c>
      <c r="G85" s="45" t="str">
        <f aca="false">IF($I85="","",INDEX('PO Log'!$H:$H,$I85))</f>
        <v/>
      </c>
      <c r="H85" s="45" t="str">
        <f aca="false">IF($I85="","","Ref "&amp;INDEX('PO Log'!$B:$B,$I85))</f>
        <v/>
      </c>
      <c r="I85" s="45" t="str">
        <f aca="false">IFERROR(MATCH(80,'PO Log'!$Z$6:$Z$205,0)+5,"")</f>
        <v/>
      </c>
    </row>
    <row r="86" customFormat="false" ht="15" hidden="false" customHeight="false" outlineLevel="0" collapsed="false">
      <c r="A86" s="45" t="str">
        <f aca="false">IF($I86="","",INDEX('PO Log'!$T:$T,$I86))</f>
        <v/>
      </c>
      <c r="B86" s="45" t="str">
        <f aca="false">IF($I86="","",INDEX('PO Log'!$D:$D,$I86))</f>
        <v/>
      </c>
      <c r="C86" s="55" t="str">
        <f aca="false">IF($I86="","",INDEX('PO Log'!$U:$U,$I86))</f>
        <v/>
      </c>
      <c r="D86" s="55" t="str">
        <f aca="false">IF($I86="","",INDEX('PO Log'!$X:$X,$I86))</f>
        <v/>
      </c>
      <c r="E86" s="45" t="str">
        <f aca="false">IF($I86="","",INDEX('PO Log'!$W:$W,$I86))</f>
        <v/>
      </c>
      <c r="F86" s="56" t="str">
        <f aca="false">IF($I86="","",INDEX('PO Log'!$O:$O,$I86))</f>
        <v/>
      </c>
      <c r="G86" s="45" t="str">
        <f aca="false">IF($I86="","",INDEX('PO Log'!$H:$H,$I86))</f>
        <v/>
      </c>
      <c r="H86" s="45" t="str">
        <f aca="false">IF($I86="","","Ref "&amp;INDEX('PO Log'!$B:$B,$I86))</f>
        <v/>
      </c>
      <c r="I86" s="45" t="str">
        <f aca="false">IFERROR(MATCH(81,'PO Log'!$Z$6:$Z$205,0)+5,"")</f>
        <v/>
      </c>
    </row>
    <row r="87" customFormat="false" ht="15" hidden="false" customHeight="false" outlineLevel="0" collapsed="false">
      <c r="A87" s="45" t="str">
        <f aca="false">IF($I87="","",INDEX('PO Log'!$T:$T,$I87))</f>
        <v/>
      </c>
      <c r="B87" s="45" t="str">
        <f aca="false">IF($I87="","",INDEX('PO Log'!$D:$D,$I87))</f>
        <v/>
      </c>
      <c r="C87" s="55" t="str">
        <f aca="false">IF($I87="","",INDEX('PO Log'!$U:$U,$I87))</f>
        <v/>
      </c>
      <c r="D87" s="55" t="str">
        <f aca="false">IF($I87="","",INDEX('PO Log'!$X:$X,$I87))</f>
        <v/>
      </c>
      <c r="E87" s="45" t="str">
        <f aca="false">IF($I87="","",INDEX('PO Log'!$W:$W,$I87))</f>
        <v/>
      </c>
      <c r="F87" s="56" t="str">
        <f aca="false">IF($I87="","",INDEX('PO Log'!$O:$O,$I87))</f>
        <v/>
      </c>
      <c r="G87" s="45" t="str">
        <f aca="false">IF($I87="","",INDEX('PO Log'!$H:$H,$I87))</f>
        <v/>
      </c>
      <c r="H87" s="45" t="str">
        <f aca="false">IF($I87="","","Ref "&amp;INDEX('PO Log'!$B:$B,$I87))</f>
        <v/>
      </c>
      <c r="I87" s="45" t="str">
        <f aca="false">IFERROR(MATCH(82,'PO Log'!$Z$6:$Z$205,0)+5,"")</f>
        <v/>
      </c>
    </row>
    <row r="88" customFormat="false" ht="15" hidden="false" customHeight="false" outlineLevel="0" collapsed="false">
      <c r="A88" s="45" t="str">
        <f aca="false">IF($I88="","",INDEX('PO Log'!$T:$T,$I88))</f>
        <v/>
      </c>
      <c r="B88" s="45" t="str">
        <f aca="false">IF($I88="","",INDEX('PO Log'!$D:$D,$I88))</f>
        <v/>
      </c>
      <c r="C88" s="55" t="str">
        <f aca="false">IF($I88="","",INDEX('PO Log'!$U:$U,$I88))</f>
        <v/>
      </c>
      <c r="D88" s="55" t="str">
        <f aca="false">IF($I88="","",INDEX('PO Log'!$X:$X,$I88))</f>
        <v/>
      </c>
      <c r="E88" s="45" t="str">
        <f aca="false">IF($I88="","",INDEX('PO Log'!$W:$W,$I88))</f>
        <v/>
      </c>
      <c r="F88" s="56" t="str">
        <f aca="false">IF($I88="","",INDEX('PO Log'!$O:$O,$I88))</f>
        <v/>
      </c>
      <c r="G88" s="45" t="str">
        <f aca="false">IF($I88="","",INDEX('PO Log'!$H:$H,$I88))</f>
        <v/>
      </c>
      <c r="H88" s="45" t="str">
        <f aca="false">IF($I88="","","Ref "&amp;INDEX('PO Log'!$B:$B,$I88))</f>
        <v/>
      </c>
      <c r="I88" s="45" t="str">
        <f aca="false">IFERROR(MATCH(83,'PO Log'!$Z$6:$Z$205,0)+5,"")</f>
        <v/>
      </c>
    </row>
    <row r="89" customFormat="false" ht="15" hidden="false" customHeight="false" outlineLevel="0" collapsed="false">
      <c r="A89" s="45" t="str">
        <f aca="false">IF($I89="","",INDEX('PO Log'!$T:$T,$I89))</f>
        <v/>
      </c>
      <c r="B89" s="45" t="str">
        <f aca="false">IF($I89="","",INDEX('PO Log'!$D:$D,$I89))</f>
        <v/>
      </c>
      <c r="C89" s="55" t="str">
        <f aca="false">IF($I89="","",INDEX('PO Log'!$U:$U,$I89))</f>
        <v/>
      </c>
      <c r="D89" s="55" t="str">
        <f aca="false">IF($I89="","",INDEX('PO Log'!$X:$X,$I89))</f>
        <v/>
      </c>
      <c r="E89" s="45" t="str">
        <f aca="false">IF($I89="","",INDEX('PO Log'!$W:$W,$I89))</f>
        <v/>
      </c>
      <c r="F89" s="56" t="str">
        <f aca="false">IF($I89="","",INDEX('PO Log'!$O:$O,$I89))</f>
        <v/>
      </c>
      <c r="G89" s="45" t="str">
        <f aca="false">IF($I89="","",INDEX('PO Log'!$H:$H,$I89))</f>
        <v/>
      </c>
      <c r="H89" s="45" t="str">
        <f aca="false">IF($I89="","","Ref "&amp;INDEX('PO Log'!$B:$B,$I89))</f>
        <v/>
      </c>
      <c r="I89" s="45" t="str">
        <f aca="false">IFERROR(MATCH(84,'PO Log'!$Z$6:$Z$205,0)+5,"")</f>
        <v/>
      </c>
    </row>
    <row r="90" customFormat="false" ht="15" hidden="false" customHeight="false" outlineLevel="0" collapsed="false">
      <c r="A90" s="45" t="str">
        <f aca="false">IF($I90="","",INDEX('PO Log'!$T:$T,$I90))</f>
        <v/>
      </c>
      <c r="B90" s="45" t="str">
        <f aca="false">IF($I90="","",INDEX('PO Log'!$D:$D,$I90))</f>
        <v/>
      </c>
      <c r="C90" s="55" t="str">
        <f aca="false">IF($I90="","",INDEX('PO Log'!$U:$U,$I90))</f>
        <v/>
      </c>
      <c r="D90" s="55" t="str">
        <f aca="false">IF($I90="","",INDEX('PO Log'!$X:$X,$I90))</f>
        <v/>
      </c>
      <c r="E90" s="45" t="str">
        <f aca="false">IF($I90="","",INDEX('PO Log'!$W:$W,$I90))</f>
        <v/>
      </c>
      <c r="F90" s="56" t="str">
        <f aca="false">IF($I90="","",INDEX('PO Log'!$O:$O,$I90))</f>
        <v/>
      </c>
      <c r="G90" s="45" t="str">
        <f aca="false">IF($I90="","",INDEX('PO Log'!$H:$H,$I90))</f>
        <v/>
      </c>
      <c r="H90" s="45" t="str">
        <f aca="false">IF($I90="","","Ref "&amp;INDEX('PO Log'!$B:$B,$I90))</f>
        <v/>
      </c>
      <c r="I90" s="45" t="str">
        <f aca="false">IFERROR(MATCH(85,'PO Log'!$Z$6:$Z$205,0)+5,"")</f>
        <v/>
      </c>
    </row>
    <row r="91" customFormat="false" ht="15" hidden="false" customHeight="false" outlineLevel="0" collapsed="false">
      <c r="A91" s="45" t="str">
        <f aca="false">IF($I91="","",INDEX('PO Log'!$T:$T,$I91))</f>
        <v/>
      </c>
      <c r="B91" s="45" t="str">
        <f aca="false">IF($I91="","",INDEX('PO Log'!$D:$D,$I91))</f>
        <v/>
      </c>
      <c r="C91" s="55" t="str">
        <f aca="false">IF($I91="","",INDEX('PO Log'!$U:$U,$I91))</f>
        <v/>
      </c>
      <c r="D91" s="55" t="str">
        <f aca="false">IF($I91="","",INDEX('PO Log'!$X:$X,$I91))</f>
        <v/>
      </c>
      <c r="E91" s="45" t="str">
        <f aca="false">IF($I91="","",INDEX('PO Log'!$W:$W,$I91))</f>
        <v/>
      </c>
      <c r="F91" s="56" t="str">
        <f aca="false">IF($I91="","",INDEX('PO Log'!$O:$O,$I91))</f>
        <v/>
      </c>
      <c r="G91" s="45" t="str">
        <f aca="false">IF($I91="","",INDEX('PO Log'!$H:$H,$I91))</f>
        <v/>
      </c>
      <c r="H91" s="45" t="str">
        <f aca="false">IF($I91="","","Ref "&amp;INDEX('PO Log'!$B:$B,$I91))</f>
        <v/>
      </c>
      <c r="I91" s="45" t="str">
        <f aca="false">IFERROR(MATCH(86,'PO Log'!$Z$6:$Z$205,0)+5,"")</f>
        <v/>
      </c>
    </row>
    <row r="92" customFormat="false" ht="15" hidden="false" customHeight="false" outlineLevel="0" collapsed="false">
      <c r="A92" s="45" t="str">
        <f aca="false">IF($I92="","",INDEX('PO Log'!$T:$T,$I92))</f>
        <v/>
      </c>
      <c r="B92" s="45" t="str">
        <f aca="false">IF($I92="","",INDEX('PO Log'!$D:$D,$I92))</f>
        <v/>
      </c>
      <c r="C92" s="55" t="str">
        <f aca="false">IF($I92="","",INDEX('PO Log'!$U:$U,$I92))</f>
        <v/>
      </c>
      <c r="D92" s="55" t="str">
        <f aca="false">IF($I92="","",INDEX('PO Log'!$X:$X,$I92))</f>
        <v/>
      </c>
      <c r="E92" s="45" t="str">
        <f aca="false">IF($I92="","",INDEX('PO Log'!$W:$W,$I92))</f>
        <v/>
      </c>
      <c r="F92" s="56" t="str">
        <f aca="false">IF($I92="","",INDEX('PO Log'!$O:$O,$I92))</f>
        <v/>
      </c>
      <c r="G92" s="45" t="str">
        <f aca="false">IF($I92="","",INDEX('PO Log'!$H:$H,$I92))</f>
        <v/>
      </c>
      <c r="H92" s="45" t="str">
        <f aca="false">IF($I92="","","Ref "&amp;INDEX('PO Log'!$B:$B,$I92))</f>
        <v/>
      </c>
      <c r="I92" s="45" t="str">
        <f aca="false">IFERROR(MATCH(87,'PO Log'!$Z$6:$Z$205,0)+5,"")</f>
        <v/>
      </c>
    </row>
    <row r="93" customFormat="false" ht="15" hidden="false" customHeight="false" outlineLevel="0" collapsed="false">
      <c r="A93" s="45" t="str">
        <f aca="false">IF($I93="","",INDEX('PO Log'!$T:$T,$I93))</f>
        <v/>
      </c>
      <c r="B93" s="45" t="str">
        <f aca="false">IF($I93="","",INDEX('PO Log'!$D:$D,$I93))</f>
        <v/>
      </c>
      <c r="C93" s="55" t="str">
        <f aca="false">IF($I93="","",INDEX('PO Log'!$U:$U,$I93))</f>
        <v/>
      </c>
      <c r="D93" s="55" t="str">
        <f aca="false">IF($I93="","",INDEX('PO Log'!$X:$X,$I93))</f>
        <v/>
      </c>
      <c r="E93" s="45" t="str">
        <f aca="false">IF($I93="","",INDEX('PO Log'!$W:$W,$I93))</f>
        <v/>
      </c>
      <c r="F93" s="56" t="str">
        <f aca="false">IF($I93="","",INDEX('PO Log'!$O:$O,$I93))</f>
        <v/>
      </c>
      <c r="G93" s="45" t="str">
        <f aca="false">IF($I93="","",INDEX('PO Log'!$H:$H,$I93))</f>
        <v/>
      </c>
      <c r="H93" s="45" t="str">
        <f aca="false">IF($I93="","","Ref "&amp;INDEX('PO Log'!$B:$B,$I93))</f>
        <v/>
      </c>
      <c r="I93" s="45" t="str">
        <f aca="false">IFERROR(MATCH(88,'PO Log'!$Z$6:$Z$205,0)+5,"")</f>
        <v/>
      </c>
    </row>
    <row r="94" customFormat="false" ht="15" hidden="false" customHeight="false" outlineLevel="0" collapsed="false">
      <c r="A94" s="45" t="str">
        <f aca="false">IF($I94="","",INDEX('PO Log'!$T:$T,$I94))</f>
        <v/>
      </c>
      <c r="B94" s="45" t="str">
        <f aca="false">IF($I94="","",INDEX('PO Log'!$D:$D,$I94))</f>
        <v/>
      </c>
      <c r="C94" s="55" t="str">
        <f aca="false">IF($I94="","",INDEX('PO Log'!$U:$U,$I94))</f>
        <v/>
      </c>
      <c r="D94" s="55" t="str">
        <f aca="false">IF($I94="","",INDEX('PO Log'!$X:$X,$I94))</f>
        <v/>
      </c>
      <c r="E94" s="45" t="str">
        <f aca="false">IF($I94="","",INDEX('PO Log'!$W:$W,$I94))</f>
        <v/>
      </c>
      <c r="F94" s="56" t="str">
        <f aca="false">IF($I94="","",INDEX('PO Log'!$O:$O,$I94))</f>
        <v/>
      </c>
      <c r="G94" s="45" t="str">
        <f aca="false">IF($I94="","",INDEX('PO Log'!$H:$H,$I94))</f>
        <v/>
      </c>
      <c r="H94" s="45" t="str">
        <f aca="false">IF($I94="","","Ref "&amp;INDEX('PO Log'!$B:$B,$I94))</f>
        <v/>
      </c>
      <c r="I94" s="45" t="str">
        <f aca="false">IFERROR(MATCH(89,'PO Log'!$Z$6:$Z$205,0)+5,"")</f>
        <v/>
      </c>
    </row>
    <row r="95" customFormat="false" ht="15" hidden="false" customHeight="false" outlineLevel="0" collapsed="false">
      <c r="A95" s="45" t="str">
        <f aca="false">IF($I95="","",INDEX('PO Log'!$T:$T,$I95))</f>
        <v/>
      </c>
      <c r="B95" s="45" t="str">
        <f aca="false">IF($I95="","",INDEX('PO Log'!$D:$D,$I95))</f>
        <v/>
      </c>
      <c r="C95" s="55" t="str">
        <f aca="false">IF($I95="","",INDEX('PO Log'!$U:$U,$I95))</f>
        <v/>
      </c>
      <c r="D95" s="55" t="str">
        <f aca="false">IF($I95="","",INDEX('PO Log'!$X:$X,$I95))</f>
        <v/>
      </c>
      <c r="E95" s="45" t="str">
        <f aca="false">IF($I95="","",INDEX('PO Log'!$W:$W,$I95))</f>
        <v/>
      </c>
      <c r="F95" s="56" t="str">
        <f aca="false">IF($I95="","",INDEX('PO Log'!$O:$O,$I95))</f>
        <v/>
      </c>
      <c r="G95" s="45" t="str">
        <f aca="false">IF($I95="","",INDEX('PO Log'!$H:$H,$I95))</f>
        <v/>
      </c>
      <c r="H95" s="45" t="str">
        <f aca="false">IF($I95="","","Ref "&amp;INDEX('PO Log'!$B:$B,$I95))</f>
        <v/>
      </c>
      <c r="I95" s="45" t="str">
        <f aca="false">IFERROR(MATCH(90,'PO Log'!$Z$6:$Z$205,0)+5,"")</f>
        <v/>
      </c>
    </row>
    <row r="96" customFormat="false" ht="15" hidden="false" customHeight="false" outlineLevel="0" collapsed="false">
      <c r="A96" s="45" t="str">
        <f aca="false">IF($I96="","",INDEX('PO Log'!$T:$T,$I96))</f>
        <v/>
      </c>
      <c r="B96" s="45" t="str">
        <f aca="false">IF($I96="","",INDEX('PO Log'!$D:$D,$I96))</f>
        <v/>
      </c>
      <c r="C96" s="55" t="str">
        <f aca="false">IF($I96="","",INDEX('PO Log'!$U:$U,$I96))</f>
        <v/>
      </c>
      <c r="D96" s="55" t="str">
        <f aca="false">IF($I96="","",INDEX('PO Log'!$X:$X,$I96))</f>
        <v/>
      </c>
      <c r="E96" s="45" t="str">
        <f aca="false">IF($I96="","",INDEX('PO Log'!$W:$W,$I96))</f>
        <v/>
      </c>
      <c r="F96" s="56" t="str">
        <f aca="false">IF($I96="","",INDEX('PO Log'!$O:$O,$I96))</f>
        <v/>
      </c>
      <c r="G96" s="45" t="str">
        <f aca="false">IF($I96="","",INDEX('PO Log'!$H:$H,$I96))</f>
        <v/>
      </c>
      <c r="H96" s="45" t="str">
        <f aca="false">IF($I96="","","Ref "&amp;INDEX('PO Log'!$B:$B,$I96))</f>
        <v/>
      </c>
      <c r="I96" s="45" t="str">
        <f aca="false">IFERROR(MATCH(91,'PO Log'!$Z$6:$Z$205,0)+5,"")</f>
        <v/>
      </c>
    </row>
    <row r="97" customFormat="false" ht="15" hidden="false" customHeight="false" outlineLevel="0" collapsed="false">
      <c r="A97" s="45" t="str">
        <f aca="false">IF($I97="","",INDEX('PO Log'!$T:$T,$I97))</f>
        <v/>
      </c>
      <c r="B97" s="45" t="str">
        <f aca="false">IF($I97="","",INDEX('PO Log'!$D:$D,$I97))</f>
        <v/>
      </c>
      <c r="C97" s="55" t="str">
        <f aca="false">IF($I97="","",INDEX('PO Log'!$U:$U,$I97))</f>
        <v/>
      </c>
      <c r="D97" s="55" t="str">
        <f aca="false">IF($I97="","",INDEX('PO Log'!$X:$X,$I97))</f>
        <v/>
      </c>
      <c r="E97" s="45" t="str">
        <f aca="false">IF($I97="","",INDEX('PO Log'!$W:$W,$I97))</f>
        <v/>
      </c>
      <c r="F97" s="56" t="str">
        <f aca="false">IF($I97="","",INDEX('PO Log'!$O:$O,$I97))</f>
        <v/>
      </c>
      <c r="G97" s="45" t="str">
        <f aca="false">IF($I97="","",INDEX('PO Log'!$H:$H,$I97))</f>
        <v/>
      </c>
      <c r="H97" s="45" t="str">
        <f aca="false">IF($I97="","","Ref "&amp;INDEX('PO Log'!$B:$B,$I97))</f>
        <v/>
      </c>
      <c r="I97" s="45" t="str">
        <f aca="false">IFERROR(MATCH(92,'PO Log'!$Z$6:$Z$205,0)+5,"")</f>
        <v/>
      </c>
    </row>
    <row r="98" customFormat="false" ht="15" hidden="false" customHeight="false" outlineLevel="0" collapsed="false">
      <c r="A98" s="45" t="str">
        <f aca="false">IF($I98="","",INDEX('PO Log'!$T:$T,$I98))</f>
        <v/>
      </c>
      <c r="B98" s="45" t="str">
        <f aca="false">IF($I98="","",INDEX('PO Log'!$D:$D,$I98))</f>
        <v/>
      </c>
      <c r="C98" s="55" t="str">
        <f aca="false">IF($I98="","",INDEX('PO Log'!$U:$U,$I98))</f>
        <v/>
      </c>
      <c r="D98" s="55" t="str">
        <f aca="false">IF($I98="","",INDEX('PO Log'!$X:$X,$I98))</f>
        <v/>
      </c>
      <c r="E98" s="45" t="str">
        <f aca="false">IF($I98="","",INDEX('PO Log'!$W:$W,$I98))</f>
        <v/>
      </c>
      <c r="F98" s="56" t="str">
        <f aca="false">IF($I98="","",INDEX('PO Log'!$O:$O,$I98))</f>
        <v/>
      </c>
      <c r="G98" s="45" t="str">
        <f aca="false">IF($I98="","",INDEX('PO Log'!$H:$H,$I98))</f>
        <v/>
      </c>
      <c r="H98" s="45" t="str">
        <f aca="false">IF($I98="","","Ref "&amp;INDEX('PO Log'!$B:$B,$I98))</f>
        <v/>
      </c>
      <c r="I98" s="45" t="str">
        <f aca="false">IFERROR(MATCH(93,'PO Log'!$Z$6:$Z$205,0)+5,"")</f>
        <v/>
      </c>
    </row>
    <row r="99" customFormat="false" ht="15" hidden="false" customHeight="false" outlineLevel="0" collapsed="false">
      <c r="A99" s="45" t="str">
        <f aca="false">IF($I99="","",INDEX('PO Log'!$T:$T,$I99))</f>
        <v/>
      </c>
      <c r="B99" s="45" t="str">
        <f aca="false">IF($I99="","",INDEX('PO Log'!$D:$D,$I99))</f>
        <v/>
      </c>
      <c r="C99" s="55" t="str">
        <f aca="false">IF($I99="","",INDEX('PO Log'!$U:$U,$I99))</f>
        <v/>
      </c>
      <c r="D99" s="55" t="str">
        <f aca="false">IF($I99="","",INDEX('PO Log'!$X:$X,$I99))</f>
        <v/>
      </c>
      <c r="E99" s="45" t="str">
        <f aca="false">IF($I99="","",INDEX('PO Log'!$W:$W,$I99))</f>
        <v/>
      </c>
      <c r="F99" s="56" t="str">
        <f aca="false">IF($I99="","",INDEX('PO Log'!$O:$O,$I99))</f>
        <v/>
      </c>
      <c r="G99" s="45" t="str">
        <f aca="false">IF($I99="","",INDEX('PO Log'!$H:$H,$I99))</f>
        <v/>
      </c>
      <c r="H99" s="45" t="str">
        <f aca="false">IF($I99="","","Ref "&amp;INDEX('PO Log'!$B:$B,$I99))</f>
        <v/>
      </c>
      <c r="I99" s="45" t="str">
        <f aca="false">IFERROR(MATCH(94,'PO Log'!$Z$6:$Z$205,0)+5,"")</f>
        <v/>
      </c>
    </row>
    <row r="100" customFormat="false" ht="15" hidden="false" customHeight="false" outlineLevel="0" collapsed="false">
      <c r="A100" s="45" t="str">
        <f aca="false">IF($I100="","",INDEX('PO Log'!$T:$T,$I100))</f>
        <v/>
      </c>
      <c r="B100" s="45" t="str">
        <f aca="false">IF($I100="","",INDEX('PO Log'!$D:$D,$I100))</f>
        <v/>
      </c>
      <c r="C100" s="55" t="str">
        <f aca="false">IF($I100="","",INDEX('PO Log'!$U:$U,$I100))</f>
        <v/>
      </c>
      <c r="D100" s="55" t="str">
        <f aca="false">IF($I100="","",INDEX('PO Log'!$X:$X,$I100))</f>
        <v/>
      </c>
      <c r="E100" s="45" t="str">
        <f aca="false">IF($I100="","",INDEX('PO Log'!$W:$W,$I100))</f>
        <v/>
      </c>
      <c r="F100" s="56" t="str">
        <f aca="false">IF($I100="","",INDEX('PO Log'!$O:$O,$I100))</f>
        <v/>
      </c>
      <c r="G100" s="45" t="str">
        <f aca="false">IF($I100="","",INDEX('PO Log'!$H:$H,$I100))</f>
        <v/>
      </c>
      <c r="H100" s="45" t="str">
        <f aca="false">IF($I100="","","Ref "&amp;INDEX('PO Log'!$B:$B,$I100))</f>
        <v/>
      </c>
      <c r="I100" s="45" t="str">
        <f aca="false">IFERROR(MATCH(95,'PO Log'!$Z$6:$Z$205,0)+5,"")</f>
        <v/>
      </c>
    </row>
    <row r="101" customFormat="false" ht="15" hidden="false" customHeight="false" outlineLevel="0" collapsed="false">
      <c r="A101" s="45" t="str">
        <f aca="false">IF($I101="","",INDEX('PO Log'!$T:$T,$I101))</f>
        <v/>
      </c>
      <c r="B101" s="45" t="str">
        <f aca="false">IF($I101="","",INDEX('PO Log'!$D:$D,$I101))</f>
        <v/>
      </c>
      <c r="C101" s="55" t="str">
        <f aca="false">IF($I101="","",INDEX('PO Log'!$U:$U,$I101))</f>
        <v/>
      </c>
      <c r="D101" s="55" t="str">
        <f aca="false">IF($I101="","",INDEX('PO Log'!$X:$X,$I101))</f>
        <v/>
      </c>
      <c r="E101" s="45" t="str">
        <f aca="false">IF($I101="","",INDEX('PO Log'!$W:$W,$I101))</f>
        <v/>
      </c>
      <c r="F101" s="56" t="str">
        <f aca="false">IF($I101="","",INDEX('PO Log'!$O:$O,$I101))</f>
        <v/>
      </c>
      <c r="G101" s="45" t="str">
        <f aca="false">IF($I101="","",INDEX('PO Log'!$H:$H,$I101))</f>
        <v/>
      </c>
      <c r="H101" s="45" t="str">
        <f aca="false">IF($I101="","","Ref "&amp;INDEX('PO Log'!$B:$B,$I101))</f>
        <v/>
      </c>
      <c r="I101" s="45" t="str">
        <f aca="false">IFERROR(MATCH(96,'PO Log'!$Z$6:$Z$205,0)+5,"")</f>
        <v/>
      </c>
    </row>
    <row r="102" customFormat="false" ht="15" hidden="false" customHeight="false" outlineLevel="0" collapsed="false">
      <c r="A102" s="45" t="str">
        <f aca="false">IF($I102="","",INDEX('PO Log'!$T:$T,$I102))</f>
        <v/>
      </c>
      <c r="B102" s="45" t="str">
        <f aca="false">IF($I102="","",INDEX('PO Log'!$D:$D,$I102))</f>
        <v/>
      </c>
      <c r="C102" s="55" t="str">
        <f aca="false">IF($I102="","",INDEX('PO Log'!$U:$U,$I102))</f>
        <v/>
      </c>
      <c r="D102" s="55" t="str">
        <f aca="false">IF($I102="","",INDEX('PO Log'!$X:$X,$I102))</f>
        <v/>
      </c>
      <c r="E102" s="45" t="str">
        <f aca="false">IF($I102="","",INDEX('PO Log'!$W:$W,$I102))</f>
        <v/>
      </c>
      <c r="F102" s="56" t="str">
        <f aca="false">IF($I102="","",INDEX('PO Log'!$O:$O,$I102))</f>
        <v/>
      </c>
      <c r="G102" s="45" t="str">
        <f aca="false">IF($I102="","",INDEX('PO Log'!$H:$H,$I102))</f>
        <v/>
      </c>
      <c r="H102" s="45" t="str">
        <f aca="false">IF($I102="","","Ref "&amp;INDEX('PO Log'!$B:$B,$I102))</f>
        <v/>
      </c>
      <c r="I102" s="45" t="str">
        <f aca="false">IFERROR(MATCH(97,'PO Log'!$Z$6:$Z$205,0)+5,"")</f>
        <v/>
      </c>
    </row>
    <row r="103" customFormat="false" ht="15" hidden="false" customHeight="false" outlineLevel="0" collapsed="false">
      <c r="A103" s="45" t="str">
        <f aca="false">IF($I103="","",INDEX('PO Log'!$T:$T,$I103))</f>
        <v/>
      </c>
      <c r="B103" s="45" t="str">
        <f aca="false">IF($I103="","",INDEX('PO Log'!$D:$D,$I103))</f>
        <v/>
      </c>
      <c r="C103" s="55" t="str">
        <f aca="false">IF($I103="","",INDEX('PO Log'!$U:$U,$I103))</f>
        <v/>
      </c>
      <c r="D103" s="55" t="str">
        <f aca="false">IF($I103="","",INDEX('PO Log'!$X:$X,$I103))</f>
        <v/>
      </c>
      <c r="E103" s="45" t="str">
        <f aca="false">IF($I103="","",INDEX('PO Log'!$W:$W,$I103))</f>
        <v/>
      </c>
      <c r="F103" s="56" t="str">
        <f aca="false">IF($I103="","",INDEX('PO Log'!$O:$O,$I103))</f>
        <v/>
      </c>
      <c r="G103" s="45" t="str">
        <f aca="false">IF($I103="","",INDEX('PO Log'!$H:$H,$I103))</f>
        <v/>
      </c>
      <c r="H103" s="45" t="str">
        <f aca="false">IF($I103="","","Ref "&amp;INDEX('PO Log'!$B:$B,$I103))</f>
        <v/>
      </c>
      <c r="I103" s="45" t="str">
        <f aca="false">IFERROR(MATCH(98,'PO Log'!$Z$6:$Z$205,0)+5,"")</f>
        <v/>
      </c>
    </row>
    <row r="104" customFormat="false" ht="15" hidden="false" customHeight="false" outlineLevel="0" collapsed="false">
      <c r="A104" s="45" t="str">
        <f aca="false">IF($I104="","",INDEX('PO Log'!$T:$T,$I104))</f>
        <v/>
      </c>
      <c r="B104" s="45" t="str">
        <f aca="false">IF($I104="","",INDEX('PO Log'!$D:$D,$I104))</f>
        <v/>
      </c>
      <c r="C104" s="55" t="str">
        <f aca="false">IF($I104="","",INDEX('PO Log'!$U:$U,$I104))</f>
        <v/>
      </c>
      <c r="D104" s="55" t="str">
        <f aca="false">IF($I104="","",INDEX('PO Log'!$X:$X,$I104))</f>
        <v/>
      </c>
      <c r="E104" s="45" t="str">
        <f aca="false">IF($I104="","",INDEX('PO Log'!$W:$W,$I104))</f>
        <v/>
      </c>
      <c r="F104" s="56" t="str">
        <f aca="false">IF($I104="","",INDEX('PO Log'!$O:$O,$I104))</f>
        <v/>
      </c>
      <c r="G104" s="45" t="str">
        <f aca="false">IF($I104="","",INDEX('PO Log'!$H:$H,$I104))</f>
        <v/>
      </c>
      <c r="H104" s="45" t="str">
        <f aca="false">IF($I104="","","Ref "&amp;INDEX('PO Log'!$B:$B,$I104))</f>
        <v/>
      </c>
      <c r="I104" s="45" t="str">
        <f aca="false">IFERROR(MATCH(99,'PO Log'!$Z$6:$Z$205,0)+5,"")</f>
        <v/>
      </c>
    </row>
    <row r="105" customFormat="false" ht="15" hidden="false" customHeight="false" outlineLevel="0" collapsed="false">
      <c r="A105" s="45" t="str">
        <f aca="false">IF($I105="","",INDEX('PO Log'!$T:$T,$I105))</f>
        <v/>
      </c>
      <c r="B105" s="45" t="str">
        <f aca="false">IF($I105="","",INDEX('PO Log'!$D:$D,$I105))</f>
        <v/>
      </c>
      <c r="C105" s="55" t="str">
        <f aca="false">IF($I105="","",INDEX('PO Log'!$U:$U,$I105))</f>
        <v/>
      </c>
      <c r="D105" s="55" t="str">
        <f aca="false">IF($I105="","",INDEX('PO Log'!$X:$X,$I105))</f>
        <v/>
      </c>
      <c r="E105" s="45" t="str">
        <f aca="false">IF($I105="","",INDEX('PO Log'!$W:$W,$I105))</f>
        <v/>
      </c>
      <c r="F105" s="56" t="str">
        <f aca="false">IF($I105="","",INDEX('PO Log'!$O:$O,$I105))</f>
        <v/>
      </c>
      <c r="G105" s="45" t="str">
        <f aca="false">IF($I105="","",INDEX('PO Log'!$H:$H,$I105))</f>
        <v/>
      </c>
      <c r="H105" s="45" t="str">
        <f aca="false">IF($I105="","","Ref "&amp;INDEX('PO Log'!$B:$B,$I105))</f>
        <v/>
      </c>
      <c r="I105" s="45" t="str">
        <f aca="false">IFERROR(MATCH(100,'PO Log'!$Z$6:$Z$205,0)+5,"")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70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210</v>
      </c>
    </row>
    <row r="3" customFormat="false" ht="15" hidden="false" customHeight="false" outlineLevel="0" collapsed="false">
      <c r="A3" s="3" t="s">
        <v>211</v>
      </c>
    </row>
    <row r="5" customFormat="false" ht="30" hidden="false" customHeight="true" outlineLevel="0" collapsed="false">
      <c r="A5" s="23" t="s">
        <v>212</v>
      </c>
      <c r="B5" s="23" t="s">
        <v>213</v>
      </c>
      <c r="C5" s="23" t="s">
        <v>214</v>
      </c>
      <c r="D5" s="23" t="s">
        <v>215</v>
      </c>
      <c r="E5" s="23" t="s">
        <v>123</v>
      </c>
    </row>
    <row r="6" customFormat="false" ht="31.5" hidden="false" customHeight="true" outlineLevel="0" collapsed="false">
      <c r="A6" s="57" t="s">
        <v>216</v>
      </c>
      <c r="B6" s="58" t="s">
        <v>217</v>
      </c>
      <c r="C6" s="58" t="s">
        <v>218</v>
      </c>
      <c r="D6" s="58" t="s">
        <v>219</v>
      </c>
      <c r="E6" s="58" t="s">
        <v>220</v>
      </c>
    </row>
    <row r="7" customFormat="false" ht="31.5" hidden="false" customHeight="true" outlineLevel="0" collapsed="false">
      <c r="A7" s="59" t="s">
        <v>221</v>
      </c>
      <c r="B7" s="60" t="s">
        <v>105</v>
      </c>
      <c r="C7" s="60" t="s">
        <v>105</v>
      </c>
      <c r="D7" s="60" t="s">
        <v>222</v>
      </c>
      <c r="E7" s="60" t="s">
        <v>223</v>
      </c>
    </row>
    <row r="8" customFormat="false" ht="31.5" hidden="false" customHeight="true" outlineLevel="0" collapsed="false">
      <c r="A8" s="57" t="s">
        <v>224</v>
      </c>
      <c r="B8" s="58" t="s">
        <v>225</v>
      </c>
      <c r="C8" s="58" t="s">
        <v>226</v>
      </c>
      <c r="D8" s="58" t="s">
        <v>226</v>
      </c>
      <c r="E8" s="58" t="s">
        <v>227</v>
      </c>
    </row>
    <row r="9" customFormat="false" ht="31.5" hidden="false" customHeight="true" outlineLevel="0" collapsed="false">
      <c r="A9" s="59" t="s">
        <v>228</v>
      </c>
      <c r="B9" s="60" t="s">
        <v>229</v>
      </c>
      <c r="C9" s="60" t="s">
        <v>230</v>
      </c>
      <c r="D9" s="60" t="s">
        <v>219</v>
      </c>
      <c r="E9" s="60" t="s">
        <v>231</v>
      </c>
    </row>
    <row r="10" customFormat="false" ht="31.5" hidden="false" customHeight="true" outlineLevel="0" collapsed="false">
      <c r="A10" s="57" t="s">
        <v>232</v>
      </c>
      <c r="B10" s="58" t="s">
        <v>233</v>
      </c>
      <c r="C10" s="58" t="s">
        <v>205</v>
      </c>
      <c r="D10" s="58" t="s">
        <v>222</v>
      </c>
      <c r="E10" s="58" t="s">
        <v>234</v>
      </c>
    </row>
    <row r="11" customFormat="false" ht="31.5" hidden="false" customHeight="true" outlineLevel="0" collapsed="false">
      <c r="A11" s="59" t="s">
        <v>235</v>
      </c>
      <c r="B11" s="60" t="s">
        <v>236</v>
      </c>
      <c r="C11" s="60" t="s">
        <v>207</v>
      </c>
      <c r="D11" s="60" t="s">
        <v>219</v>
      </c>
      <c r="E11" s="60" t="s">
        <v>237</v>
      </c>
    </row>
    <row r="12" customFormat="false" ht="31.5" hidden="false" customHeight="true" outlineLevel="0" collapsed="false">
      <c r="A12" s="57" t="s">
        <v>238</v>
      </c>
      <c r="B12" s="58" t="s">
        <v>239</v>
      </c>
      <c r="C12" s="58" t="s">
        <v>226</v>
      </c>
      <c r="D12" s="58" t="s">
        <v>226</v>
      </c>
      <c r="E12" s="58" t="s">
        <v>240</v>
      </c>
    </row>
    <row r="13" customFormat="false" ht="31.5" hidden="false" customHeight="true" outlineLevel="0" collapsed="false">
      <c r="A13" s="59" t="s">
        <v>241</v>
      </c>
      <c r="B13" s="60" t="s">
        <v>226</v>
      </c>
      <c r="C13" s="60" t="s">
        <v>206</v>
      </c>
      <c r="D13" s="60" t="s">
        <v>222</v>
      </c>
      <c r="E13" s="60" t="s">
        <v>242</v>
      </c>
    </row>
    <row r="14" customFormat="false" ht="31.5" hidden="false" customHeight="true" outlineLevel="0" collapsed="false">
      <c r="A14" s="57" t="s">
        <v>243</v>
      </c>
      <c r="B14" s="58" t="s">
        <v>226</v>
      </c>
      <c r="C14" s="58" t="s">
        <v>202</v>
      </c>
      <c r="D14" s="58" t="s">
        <v>222</v>
      </c>
      <c r="E14" s="58" t="s">
        <v>244</v>
      </c>
    </row>
    <row r="15" customFormat="false" ht="31.5" hidden="false" customHeight="true" outlineLevel="0" collapsed="false">
      <c r="A15" s="59" t="s">
        <v>245</v>
      </c>
      <c r="B15" s="60" t="s">
        <v>226</v>
      </c>
      <c r="C15" s="60" t="s">
        <v>203</v>
      </c>
      <c r="D15" s="60" t="s">
        <v>222</v>
      </c>
      <c r="E15" s="60" t="s">
        <v>246</v>
      </c>
    </row>
    <row r="16" customFormat="false" ht="31.5" hidden="false" customHeight="true" outlineLevel="0" collapsed="false">
      <c r="A16" s="57" t="s">
        <v>247</v>
      </c>
      <c r="B16" s="58" t="s">
        <v>226</v>
      </c>
      <c r="C16" s="58" t="s">
        <v>204</v>
      </c>
      <c r="D16" s="58" t="s">
        <v>222</v>
      </c>
      <c r="E16" s="58" t="s">
        <v>248</v>
      </c>
    </row>
    <row r="17" customFormat="false" ht="31.5" hidden="false" customHeight="true" outlineLevel="0" collapsed="false">
      <c r="A17" s="59" t="s">
        <v>226</v>
      </c>
      <c r="B17" s="60" t="s">
        <v>226</v>
      </c>
      <c r="C17" s="60" t="s">
        <v>249</v>
      </c>
      <c r="D17" s="60" t="s">
        <v>250</v>
      </c>
      <c r="E17" s="60" t="s">
        <v>251</v>
      </c>
    </row>
    <row r="18" customFormat="false" ht="31.5" hidden="false" customHeight="true" outlineLevel="0" collapsed="false">
      <c r="A18" s="57" t="s">
        <v>252</v>
      </c>
      <c r="B18" s="58" t="s">
        <v>253</v>
      </c>
      <c r="C18" s="58" t="s">
        <v>226</v>
      </c>
      <c r="D18" s="58" t="s">
        <v>226</v>
      </c>
      <c r="E18" s="58" t="s">
        <v>254</v>
      </c>
    </row>
    <row r="19" customFormat="false" ht="31.5" hidden="false" customHeight="true" outlineLevel="0" collapsed="false">
      <c r="A19" s="59" t="s">
        <v>255</v>
      </c>
      <c r="B19" s="60" t="s">
        <v>256</v>
      </c>
      <c r="C19" s="60" t="s">
        <v>226</v>
      </c>
      <c r="D19" s="60" t="s">
        <v>226</v>
      </c>
      <c r="E19" s="60" t="s">
        <v>257</v>
      </c>
    </row>
    <row r="21" customFormat="false" ht="15" hidden="false" customHeight="false" outlineLevel="0" collapsed="false">
      <c r="A21" s="61" t="s">
        <v>258</v>
      </c>
    </row>
    <row r="22" customFormat="false" ht="15" hidden="false" customHeight="false" outlineLevel="0" collapsed="false">
      <c r="A22" s="62" t="s">
        <v>259</v>
      </c>
    </row>
    <row r="23" customFormat="false" ht="15" hidden="false" customHeight="false" outlineLevel="0" collapsed="false">
      <c r="A23" s="62" t="s">
        <v>260</v>
      </c>
    </row>
    <row r="24" customFormat="false" ht="15" hidden="false" customHeight="false" outlineLevel="0" collapsed="false">
      <c r="A24" s="62" t="s">
        <v>261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33.75" hidden="false" customHeight="true" outlineLevel="0" collapsed="false">
      <c r="A2" s="63"/>
      <c r="B2" s="64" t="s">
        <v>262</v>
      </c>
    </row>
    <row r="3" customFormat="false" ht="31.5" hidden="false" customHeight="true" outlineLevel="0" collapsed="false">
      <c r="A3" s="63"/>
      <c r="B3" s="65" t="s">
        <v>263</v>
      </c>
    </row>
    <row r="4" customFormat="false" ht="19.5" hidden="false" customHeight="true" outlineLevel="0" collapsed="false">
      <c r="A4" s="63"/>
      <c r="B4" s="65" t="s">
        <v>264</v>
      </c>
    </row>
    <row r="5" customFormat="false" ht="31.5" hidden="false" customHeight="true" outlineLevel="0" collapsed="false">
      <c r="A5" s="63"/>
      <c r="B5" s="65" t="s">
        <v>265</v>
      </c>
    </row>
    <row r="6" customFormat="false" ht="19.5" hidden="false" customHeight="true" outlineLevel="0" collapsed="false">
      <c r="A6" s="63"/>
      <c r="B6" s="65" t="s">
        <v>266</v>
      </c>
    </row>
    <row r="7" customFormat="false" ht="19.5" hidden="false" customHeight="true" outlineLevel="0" collapsed="false">
      <c r="A7" s="63"/>
      <c r="B7" s="65" t="s">
        <v>267</v>
      </c>
    </row>
    <row r="8" customFormat="false" ht="19.5" hidden="false" customHeight="true" outlineLevel="0" collapsed="false">
      <c r="A8" s="63"/>
      <c r="B8" s="66" t="s">
        <v>268</v>
      </c>
    </row>
    <row r="9" customFormat="false" ht="31.5" hidden="false" customHeight="true" outlineLevel="0" collapsed="false">
      <c r="A9" s="63"/>
      <c r="B9" s="65" t="s">
        <v>269</v>
      </c>
    </row>
    <row r="10" customFormat="false" ht="31.5" hidden="false" customHeight="true" outlineLevel="0" collapsed="false">
      <c r="A10" s="63"/>
      <c r="B10" s="65" t="s">
        <v>270</v>
      </c>
    </row>
    <row r="11" customFormat="false" ht="19.5" hidden="false" customHeight="true" outlineLevel="0" collapsed="false">
      <c r="A11" s="63"/>
      <c r="B11" s="65"/>
    </row>
    <row r="12" customFormat="false" ht="19.5" hidden="false" customHeight="true" outlineLevel="0" collapsed="false">
      <c r="A12" s="63"/>
      <c r="B12" s="65" t="s">
        <v>40</v>
      </c>
    </row>
  </sheetData>
  <hyperlinks>
    <hyperlink ref="B9" r:id="rId1" display="https://www.foxpedite.com/register?utm_source=website&amp;utm_medium=organic&amp;utm_campaign=fx-202611-why-your-po-spreadsheet-&amp;utm_content=foxpedite-com-templates-template-lead-magnet-w03-w03-l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2026-10-19T14:38:01Z</dcterms:created>
  <dc:creator>Foxpedite</dc:creator>
  <dc:description/>
  <dc:language>en-US</dc:language>
  <cp:lastModifiedBy>Foxpedite</cp:lastModifiedBy>
  <dcterms:modified xsi:type="dcterms:W3CDTF">2026-10-19T14:38:02Z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